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9\02_Open Record Evaluations\Next Update\"/>
    </mc:Choice>
  </mc:AlternateContent>
  <bookViews>
    <workbookView xWindow="0" yWindow="0" windowWidth="24255" windowHeight="9690" tabRatio="836" activeTab="9"/>
  </bookViews>
  <sheets>
    <sheet name="RFP Responses" sheetId="19" r:id="rId1"/>
    <sheet name="Evaluator 1" sheetId="74" r:id="rId2"/>
    <sheet name="Evaluator 2" sheetId="75" r:id="rId3"/>
    <sheet name="Evaluator 3" sheetId="76" r:id="rId4"/>
    <sheet name="Eavluator 4" sheetId="77" r:id="rId5"/>
    <sheet name="Evaluator 5" sheetId="78" r:id="rId6"/>
    <sheet name="HUB Department" sheetId="79" r:id="rId7"/>
    <sheet name="Technical Score" sheetId="27" r:id="rId8"/>
    <sheet name="Cost Summary" sheetId="84" r:id="rId9"/>
    <sheet name="Summary" sheetId="88" r:id="rId10"/>
    <sheet name="Criteria" sheetId="87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H5" i="88" l="1"/>
  <c r="H6" i="88" l="1"/>
  <c r="H7" i="88"/>
  <c r="A13" i="88"/>
  <c r="A14" i="88"/>
  <c r="A6" i="88"/>
  <c r="A7" i="88"/>
  <c r="A12" i="88"/>
  <c r="A5" i="88"/>
  <c r="A2" i="88"/>
  <c r="F11" i="88"/>
  <c r="E11" i="88"/>
  <c r="D11" i="88"/>
  <c r="C11" i="88"/>
  <c r="B11" i="88"/>
  <c r="A14" i="84" l="1"/>
  <c r="A15" i="84"/>
  <c r="A13" i="84"/>
  <c r="C4" i="79"/>
  <c r="D4" i="79"/>
  <c r="E4" i="79"/>
  <c r="F4" i="79"/>
  <c r="B4" i="79"/>
  <c r="F5" i="84" l="1"/>
  <c r="J5" i="84" s="1"/>
  <c r="B5" i="84" s="1"/>
  <c r="F4" i="84"/>
  <c r="J4" i="84" s="1"/>
  <c r="B4" i="84" s="1"/>
  <c r="F3" i="84"/>
  <c r="J3" i="84" l="1"/>
  <c r="B3" i="84" s="1"/>
  <c r="H3" i="84" s="1"/>
  <c r="H24" i="87"/>
  <c r="H23" i="87"/>
  <c r="H22" i="87"/>
  <c r="H21" i="87"/>
  <c r="H20" i="87"/>
  <c r="B6" i="87"/>
  <c r="A2" i="87"/>
  <c r="H25" i="87" l="1"/>
  <c r="H4" i="84"/>
  <c r="H5" i="84"/>
  <c r="A4" i="84"/>
  <c r="A3" i="84"/>
  <c r="G6" i="78" l="1"/>
  <c r="G7" i="78"/>
  <c r="G5" i="78"/>
  <c r="G6" i="77"/>
  <c r="G7" i="77"/>
  <c r="G5" i="77"/>
  <c r="G6" i="76"/>
  <c r="G7" i="76"/>
  <c r="G5" i="76"/>
  <c r="G6" i="75"/>
  <c r="G7" i="75"/>
  <c r="G5" i="75"/>
  <c r="G5" i="74"/>
  <c r="G6" i="74"/>
  <c r="G7" i="74"/>
  <c r="H7" i="84" l="1"/>
  <c r="B15" i="84" s="1"/>
  <c r="H7" i="77" l="1"/>
  <c r="E7" i="88" s="1"/>
  <c r="B14" i="84"/>
  <c r="B13" i="84"/>
  <c r="D13" i="84"/>
  <c r="E13" i="84" s="1"/>
  <c r="D14" i="84"/>
  <c r="E14" i="84" s="1"/>
  <c r="D15" i="84"/>
  <c r="E15" i="84" s="1"/>
  <c r="H6" i="77" l="1"/>
  <c r="E6" i="88" s="1"/>
  <c r="C14" i="84"/>
  <c r="C15" i="84"/>
  <c r="C13" i="84"/>
  <c r="C4" i="78" l="1"/>
  <c r="D4" i="78"/>
  <c r="E4" i="78"/>
  <c r="F4" i="78"/>
  <c r="C4" i="77"/>
  <c r="D4" i="77"/>
  <c r="E4" i="77"/>
  <c r="F4" i="77"/>
  <c r="C4" i="76"/>
  <c r="D4" i="76"/>
  <c r="E4" i="76"/>
  <c r="F4" i="76"/>
  <c r="C4" i="75"/>
  <c r="D4" i="75"/>
  <c r="E4" i="75"/>
  <c r="F4" i="75"/>
  <c r="B4" i="78"/>
  <c r="B4" i="77"/>
  <c r="B4" i="76"/>
  <c r="B4" i="75"/>
  <c r="A6" i="79" l="1"/>
  <c r="A7" i="79"/>
  <c r="A5" i="79"/>
  <c r="A6" i="78"/>
  <c r="A7" i="78"/>
  <c r="A5" i="78"/>
  <c r="A6" i="77"/>
  <c r="A7" i="77"/>
  <c r="A5" i="77"/>
  <c r="A6" i="76"/>
  <c r="A7" i="76"/>
  <c r="A5" i="76"/>
  <c r="A6" i="75"/>
  <c r="A7" i="75"/>
  <c r="A5" i="75"/>
  <c r="A6" i="74"/>
  <c r="A7" i="74"/>
  <c r="A5" i="74"/>
  <c r="G7" i="79"/>
  <c r="G6" i="79"/>
  <c r="G5" i="79"/>
  <c r="F6" i="27" l="1"/>
  <c r="F7" i="27"/>
  <c r="F5" i="27"/>
  <c r="D6" i="27"/>
  <c r="D7" i="27"/>
  <c r="D5" i="27"/>
  <c r="H7" i="78" l="1"/>
  <c r="F7" i="88" s="1"/>
  <c r="H6" i="78"/>
  <c r="F6" i="88" s="1"/>
  <c r="H5" i="78"/>
  <c r="F5" i="88" s="1"/>
  <c r="H5" i="77"/>
  <c r="E5" i="88" s="1"/>
  <c r="H7" i="76"/>
  <c r="D7" i="88" s="1"/>
  <c r="H6" i="76"/>
  <c r="D6" i="88" s="1"/>
  <c r="H5" i="76"/>
  <c r="D5" i="88" s="1"/>
  <c r="H7" i="75"/>
  <c r="C7" i="88" s="1"/>
  <c r="H6" i="75"/>
  <c r="C6" i="88" s="1"/>
  <c r="H5" i="75"/>
  <c r="C5" i="88" s="1"/>
  <c r="F14" i="88" l="1"/>
  <c r="F13" i="88"/>
  <c r="F12" i="88"/>
  <c r="E13" i="88"/>
  <c r="E12" i="88"/>
  <c r="E14" i="88"/>
  <c r="D13" i="88"/>
  <c r="D14" i="88"/>
  <c r="D12" i="88"/>
  <c r="C14" i="88"/>
  <c r="C12" i="88"/>
  <c r="C13" i="88"/>
  <c r="H7" i="74"/>
  <c r="B7" i="88" s="1"/>
  <c r="G7" i="88" s="1"/>
  <c r="I7" i="88" s="1"/>
  <c r="H6" i="74"/>
  <c r="B6" i="88" s="1"/>
  <c r="G6" i="88" s="1"/>
  <c r="I6" i="88" s="1"/>
  <c r="H5" i="74"/>
  <c r="B5" i="88" s="1"/>
  <c r="B13" i="88" l="1"/>
  <c r="G13" i="88" s="1"/>
  <c r="B12" i="88"/>
  <c r="G12" i="88" s="1"/>
  <c r="B14" i="88"/>
  <c r="G14" i="88" s="1"/>
  <c r="G5" i="88"/>
  <c r="I5" i="88" s="1"/>
  <c r="B7" i="27"/>
  <c r="B6" i="27"/>
  <c r="C7" i="27"/>
  <c r="C6" i="27"/>
  <c r="E7" i="27"/>
  <c r="E6" i="27"/>
  <c r="H13" i="88" l="1"/>
  <c r="J5" i="88"/>
  <c r="J7" i="88"/>
  <c r="J6" i="88"/>
  <c r="H14" i="88"/>
  <c r="H12" i="88"/>
  <c r="G7" i="27"/>
  <c r="G6" i="27"/>
  <c r="E5" i="27"/>
  <c r="C5" i="27"/>
  <c r="B5" i="27"/>
  <c r="G5" i="27" l="1"/>
  <c r="H5" i="27" s="1"/>
  <c r="H7" i="27" l="1"/>
  <c r="H6" i="27"/>
  <c r="A6" i="27" l="1"/>
  <c r="A7" i="27"/>
  <c r="A5" i="27"/>
  <c r="A2" i="27" l="1"/>
  <c r="A2" i="79"/>
  <c r="A2" i="78"/>
  <c r="A2" i="77"/>
  <c r="A2" i="76"/>
  <c r="A2" i="75"/>
  <c r="A2" i="74"/>
</calcChain>
</file>

<file path=xl/comments1.xml><?xml version="1.0" encoding="utf-8"?>
<comments xmlns="http://schemas.openxmlformats.org/spreadsheetml/2006/main">
  <authors>
    <author>Jamil, Hasan 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Fromula
Fee on CCL + Pre-Construction Phase Fee + Staff Amt 24 Months Term + Bonds and Insurance Amt
</t>
        </r>
      </text>
    </comment>
    <comment ref="J2" authorId="0" shapeId="0">
      <text>
        <r>
          <rPr>
            <b/>
            <sz val="9"/>
            <color indexed="81"/>
            <rFont val="Tahoma"/>
            <charset val="1"/>
          </rPr>
          <t>COW Calculation</t>
        </r>
        <r>
          <rPr>
            <sz val="9"/>
            <color indexed="81"/>
            <rFont val="Tahoma"/>
            <charset val="1"/>
          </rPr>
          <t xml:space="preserve">
COW = ((CCL)–(staff+bonds)–(Precon))/(fee%+1)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Fromula:
((1-(Vendor Amount - Lowest Vendor Amount)/Lowest Vendor Amount)*High Score)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<sst xmlns="http://schemas.openxmlformats.org/spreadsheetml/2006/main" count="105" uniqueCount="76">
  <si>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</si>
  <si>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</si>
  <si>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</si>
  <si>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</si>
  <si>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</si>
  <si>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</si>
  <si>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</si>
  <si>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Pre-Construction Phase</t>
  </si>
  <si>
    <t>Construction Phase</t>
  </si>
  <si>
    <t xml:space="preserve"> </t>
  </si>
  <si>
    <t>Fee</t>
  </si>
  <si>
    <t>Fee Percentage</t>
  </si>
  <si>
    <t>SCORING SUMMARY</t>
  </si>
  <si>
    <t>Score</t>
  </si>
  <si>
    <t>Rank</t>
  </si>
  <si>
    <t>Delta to Low Bid</t>
  </si>
  <si>
    <t>Delta % to Low Bid</t>
  </si>
  <si>
    <t>Technical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</si>
  <si>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</si>
  <si>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</si>
  <si>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</si>
  <si>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</si>
  <si>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</si>
  <si>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</si>
  <si>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</si>
  <si>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</si>
  <si>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</si>
  <si>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</si>
  <si>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</si>
  <si>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</si>
  <si>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</si>
  <si>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</si>
  <si>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*Total =</t>
  </si>
  <si>
    <t>*Note:  Total should be equal to 100 if received 5-point per criterion.</t>
  </si>
  <si>
    <t>Special Instructions for Evaluators:</t>
  </si>
  <si>
    <t>Criterion 4</t>
  </si>
  <si>
    <t>Criterion 6</t>
  </si>
  <si>
    <t>Criterion 7</t>
  </si>
  <si>
    <t>Lowest Sum:</t>
  </si>
  <si>
    <t>J.T. Vaughn Construction</t>
  </si>
  <si>
    <t>Tellepsen</t>
  </si>
  <si>
    <t>Criterion 1 &amp; 3</t>
  </si>
  <si>
    <t>**DO NOT SCORE.  PURCHASING WILL EVALUATE.</t>
  </si>
  <si>
    <t>**SCORED BY HUB DEPARTMENT ONLY</t>
  </si>
  <si>
    <t>CCL</t>
  </si>
  <si>
    <t>Bonds and Insurance Amt</t>
  </si>
  <si>
    <t xml:space="preserve">Formula = </t>
  </si>
  <si>
    <t>((1-Vendor Amount - Lowest Vendor Amount)/Lowest Vendor Amount)*High Score)</t>
  </si>
  <si>
    <t xml:space="preserve">Sum of Fees </t>
  </si>
  <si>
    <t>Project Month:</t>
  </si>
  <si>
    <t>Staff Amt Monthly</t>
  </si>
  <si>
    <t>Staff Amt 24 Months Term</t>
  </si>
  <si>
    <t xml:space="preserve">Cost of Work </t>
  </si>
  <si>
    <t>Fee on COW</t>
  </si>
  <si>
    <t>NOTE:  Purchasing is basing the monthly Staffing Amt given by facilities on 24 months stated in the RFP from June 2020-July 2022.</t>
  </si>
  <si>
    <t>Evaluation Summary RFQ730-19048.RFP730-19073 (Shortlist) CMAR New UH COM</t>
  </si>
  <si>
    <t>Austin Commercial</t>
  </si>
  <si>
    <t xml:space="preserve">Criterion 2 </t>
  </si>
  <si>
    <t>Avg Total Score</t>
  </si>
  <si>
    <t xml:space="preserve">HUB </t>
  </si>
  <si>
    <t>Total (Avg + HUB)</t>
  </si>
  <si>
    <t>Average of committee rank per vendor</t>
  </si>
  <si>
    <t>Rank of Average</t>
  </si>
  <si>
    <t>Scoring Summary</t>
  </si>
  <si>
    <t>One and Three:  Respondent’s prior experience with medical school or health care projects and LEED Projects (Section 4.3 &amp; Section 4.5)</t>
  </si>
  <si>
    <t>Two:  Respondent’s Pre Construction and Construction Phase Services (Section 4.4)</t>
  </si>
  <si>
    <t>Four:  Respondent’s Cost and Delivery Proposal (Section 4.6)</t>
  </si>
  <si>
    <t>Six:  Respondent’s Past University of Houston Project Experience (Section 4.7)</t>
  </si>
  <si>
    <t>Seven:  Respondent’s Past HUB/MBE/WBE Goal Attainment and Quality of Procedures for UHS HUB Goal Attainment on this Project  (Section 4.8)</t>
  </si>
  <si>
    <t>Submitted By:  Tim S. Henry</t>
  </si>
  <si>
    <t>Reviewed By:  Hasan Jamil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</si>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</sst>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  <numFmt numFmtId="166" formatCode="_([$$-409]* #,##0.00_);_([$$-409]* \(#,##0.00\);_([$$-409]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</font>
    <font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8" applyNumberFormat="0" applyFont="0" applyAlignment="0" applyProtection="0"/>
    <xf numFmtId="43" fontId="7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23" applyNumberFormat="0" applyAlignment="0" applyProtection="0"/>
    <xf numFmtId="0" fontId="20" fillId="24" borderId="24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25" applyNumberFormat="0" applyFill="0" applyAlignment="0" applyProtection="0"/>
    <xf numFmtId="0" fontId="24" fillId="0" borderId="26" applyNumberFormat="0" applyFill="0" applyAlignment="0" applyProtection="0"/>
    <xf numFmtId="0" fontId="25" fillId="0" borderId="27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23" applyNumberFormat="0" applyAlignment="0" applyProtection="0"/>
    <xf numFmtId="0" fontId="27" fillId="0" borderId="28" applyNumberFormat="0" applyFill="0" applyAlignment="0" applyProtection="0"/>
    <xf numFmtId="0" fontId="28" fillId="25" borderId="0" applyNumberFormat="0" applyBorder="0" applyAlignment="0" applyProtection="0"/>
    <xf numFmtId="0" fontId="7" fillId="4" borderId="8" applyNumberFormat="0" applyFont="0" applyAlignment="0" applyProtection="0"/>
    <xf numFmtId="0" fontId="29" fillId="23" borderId="29" applyNumberForma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0" borderId="0" applyNumberFormat="0" applyFill="0" applyBorder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2" fillId="0" borderId="0"/>
    <xf numFmtId="44" fontId="46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164" fontId="6" fillId="0" borderId="6" xfId="0" applyNumberFormat="1" applyFont="1" applyBorder="1"/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9" xfId="1" applyFont="1" applyBorder="1"/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7" xfId="1" applyFont="1" applyFill="1" applyBorder="1" applyAlignme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7" fillId="0" borderId="20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15" fillId="0" borderId="22" xfId="0" applyNumberFormat="1" applyFont="1" applyFill="1" applyBorder="1" applyAlignment="1">
      <alignment horizontal="center" vertical="center"/>
    </xf>
    <xf numFmtId="44" fontId="0" fillId="0" borderId="22" xfId="0" applyNumberFormat="1" applyFill="1" applyBorder="1" applyAlignment="1">
      <alignment horizontal="center" vertical="center"/>
    </xf>
    <xf numFmtId="10" fontId="10" fillId="0" borderId="17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4" xfId="1" applyNumberFormat="1" applyFont="1" applyBorder="1"/>
    <xf numFmtId="0" fontId="4" fillId="0" borderId="14" xfId="1" applyFont="1" applyBorder="1"/>
    <xf numFmtId="0" fontId="4" fillId="0" borderId="0" xfId="0" applyFont="1"/>
    <xf numFmtId="0" fontId="7" fillId="0" borderId="7" xfId="1" applyFont="1" applyFill="1" applyBorder="1" applyAlignment="1"/>
    <xf numFmtId="0" fontId="6" fillId="0" borderId="0" xfId="0" applyFont="1" applyFill="1"/>
    <xf numFmtId="2" fontId="6" fillId="0" borderId="3" xfId="0" applyNumberFormat="1" applyFont="1" applyFill="1" applyBorder="1"/>
    <xf numFmtId="0" fontId="6" fillId="0" borderId="7" xfId="0" applyFont="1" applyFill="1" applyBorder="1"/>
    <xf numFmtId="0" fontId="4" fillId="0" borderId="5" xfId="0" applyFont="1" applyFill="1" applyBorder="1"/>
    <xf numFmtId="0" fontId="15" fillId="0" borderId="0" xfId="0" applyFont="1" applyAlignment="1">
      <alignment horizontal="center"/>
    </xf>
    <xf numFmtId="0" fontId="4" fillId="0" borderId="5" xfId="1" applyFont="1" applyBorder="1"/>
    <xf numFmtId="0" fontId="5" fillId="28" borderId="4" xfId="0" applyFont="1" applyFill="1" applyBorder="1" applyAlignment="1">
      <alignment horizontal="center" vertical="center"/>
    </xf>
    <xf numFmtId="0" fontId="15" fillId="29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31" xfId="0" applyBorder="1" applyAlignment="1">
      <alignment vertical="center"/>
    </xf>
    <xf numFmtId="43" fontId="7" fillId="0" borderId="0" xfId="4" applyFont="1" applyFill="1" applyAlignment="1">
      <alignment vertical="center"/>
    </xf>
    <xf numFmtId="164" fontId="6" fillId="0" borderId="6" xfId="0" applyNumberFormat="1" applyFont="1" applyFill="1" applyBorder="1"/>
    <xf numFmtId="0" fontId="4" fillId="30" borderId="5" xfId="1" applyFont="1" applyFill="1" applyBorder="1"/>
    <xf numFmtId="0" fontId="0" fillId="30" borderId="5" xfId="0" applyFill="1" applyBorder="1" applyAlignment="1">
      <alignment vertical="center"/>
    </xf>
    <xf numFmtId="0" fontId="4" fillId="30" borderId="14" xfId="1" applyFont="1" applyFill="1" applyBorder="1"/>
    <xf numFmtId="0" fontId="5" fillId="30" borderId="0" xfId="1" applyFont="1" applyFill="1" applyAlignment="1">
      <alignment horizontal="center" vertical="center"/>
    </xf>
    <xf numFmtId="0" fontId="33" fillId="0" borderId="0" xfId="1" applyFont="1"/>
    <xf numFmtId="0" fontId="13" fillId="0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27" borderId="7" xfId="0" applyFont="1" applyFill="1" applyBorder="1" applyAlignment="1">
      <alignment horizontal="center"/>
    </xf>
    <xf numFmtId="0" fontId="6" fillId="32" borderId="7" xfId="0" applyFont="1" applyFill="1" applyBorder="1"/>
    <xf numFmtId="0" fontId="6" fillId="32" borderId="0" xfId="0" applyFont="1" applyFill="1"/>
    <xf numFmtId="0" fontId="5" fillId="3" borderId="4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3" borderId="45" xfId="0" applyFont="1" applyFill="1" applyBorder="1" applyAlignment="1">
      <alignment horizontal="center" vertical="center"/>
    </xf>
    <xf numFmtId="0" fontId="37" fillId="0" borderId="0" xfId="0" applyFont="1"/>
    <xf numFmtId="0" fontId="4" fillId="26" borderId="5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5" fillId="34" borderId="46" xfId="0" applyFont="1" applyFill="1" applyBorder="1" applyAlignment="1">
      <alignment horizontal="right"/>
    </xf>
    <xf numFmtId="0" fontId="5" fillId="34" borderId="47" xfId="0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 vertical="center"/>
    </xf>
    <xf numFmtId="2" fontId="6" fillId="32" borderId="3" xfId="0" applyNumberFormat="1" applyFont="1" applyFill="1" applyBorder="1"/>
    <xf numFmtId="0" fontId="15" fillId="0" borderId="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35" borderId="20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51" xfId="0" applyFont="1" applyFill="1" applyBorder="1" applyAlignment="1">
      <alignment horizontal="center"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/>
    <xf numFmtId="165" fontId="0" fillId="32" borderId="22" xfId="0" applyNumberFormat="1" applyFill="1" applyBorder="1" applyAlignment="1">
      <alignment vertical="center"/>
    </xf>
    <xf numFmtId="10" fontId="0" fillId="32" borderId="22" xfId="0" applyNumberFormat="1" applyFill="1" applyBorder="1" applyAlignment="1">
      <alignment horizontal="center" vertical="center"/>
    </xf>
    <xf numFmtId="165" fontId="12" fillId="32" borderId="22" xfId="0" applyNumberFormat="1" applyFont="1" applyFill="1" applyBorder="1" applyAlignment="1">
      <alignment vertical="center"/>
    </xf>
    <xf numFmtId="165" fontId="13" fillId="0" borderId="22" xfId="0" applyNumberFormat="1" applyFont="1" applyFill="1" applyBorder="1" applyAlignment="1">
      <alignment vertical="center"/>
    </xf>
    <xf numFmtId="165" fontId="0" fillId="32" borderId="5" xfId="0" applyNumberFormat="1" applyFill="1" applyBorder="1" applyAlignment="1">
      <alignment vertical="center"/>
    </xf>
    <xf numFmtId="10" fontId="0" fillId="32" borderId="5" xfId="0" applyNumberFormat="1" applyFill="1" applyBorder="1" applyAlignment="1">
      <alignment horizontal="center" vertical="center"/>
    </xf>
    <xf numFmtId="165" fontId="12" fillId="32" borderId="5" xfId="0" applyNumberFormat="1" applyFont="1" applyFill="1" applyBorder="1" applyAlignment="1">
      <alignment vertical="center"/>
    </xf>
    <xf numFmtId="165" fontId="41" fillId="0" borderId="20" xfId="0" applyNumberFormat="1" applyFont="1" applyFill="1" applyBorder="1" applyAlignment="1">
      <alignment vertical="center"/>
    </xf>
    <xf numFmtId="0" fontId="42" fillId="0" borderId="20" xfId="0" applyFont="1" applyFill="1" applyBorder="1" applyAlignment="1">
      <alignment horizontal="center" vertical="center"/>
    </xf>
    <xf numFmtId="2" fontId="42" fillId="0" borderId="22" xfId="0" applyNumberFormat="1" applyFont="1" applyFill="1" applyBorder="1" applyAlignment="1">
      <alignment horizontal="center" vertical="center"/>
    </xf>
    <xf numFmtId="2" fontId="42" fillId="0" borderId="5" xfId="0" applyNumberFormat="1" applyFont="1" applyFill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0" fontId="4" fillId="32" borderId="7" xfId="1" applyFont="1" applyFill="1" applyBorder="1" applyAlignment="1"/>
    <xf numFmtId="164" fontId="6" fillId="32" borderId="6" xfId="0" applyNumberFormat="1" applyFont="1" applyFill="1" applyBorder="1"/>
    <xf numFmtId="0" fontId="12" fillId="0" borderId="49" xfId="0" applyFont="1" applyFill="1" applyBorder="1" applyAlignment="1">
      <alignment horizontal="center" vertical="center" wrapText="1"/>
    </xf>
    <xf numFmtId="0" fontId="47" fillId="0" borderId="0" xfId="1" applyFont="1"/>
    <xf numFmtId="0" fontId="45" fillId="0" borderId="11" xfId="1" applyFont="1" applyBorder="1" applyAlignment="1">
      <alignment horizontal="center" vertical="center" textRotation="90"/>
    </xf>
    <xf numFmtId="0" fontId="47" fillId="0" borderId="5" xfId="0" applyFont="1" applyFill="1" applyBorder="1"/>
    <xf numFmtId="0" fontId="9" fillId="0" borderId="11" xfId="1" applyFont="1" applyBorder="1" applyAlignment="1">
      <alignment horizontal="center" vertical="center" textRotation="90"/>
    </xf>
    <xf numFmtId="0" fontId="47" fillId="0" borderId="5" xfId="1" applyFont="1" applyBorder="1"/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44" fontId="7" fillId="0" borderId="22" xfId="49" applyFont="1" applyFill="1" applyBorder="1" applyAlignment="1"/>
    <xf numFmtId="0" fontId="10" fillId="36" borderId="53" xfId="0" applyFont="1" applyFill="1" applyBorder="1" applyAlignment="1">
      <alignment vertical="center" wrapText="1"/>
    </xf>
    <xf numFmtId="0" fontId="11" fillId="35" borderId="20" xfId="0" applyFont="1" applyFill="1" applyBorder="1" applyAlignment="1">
      <alignment horizontal="center" vertical="center" wrapText="1"/>
    </xf>
    <xf numFmtId="0" fontId="0" fillId="36" borderId="19" xfId="0" applyFill="1" applyBorder="1"/>
    <xf numFmtId="0" fontId="10" fillId="32" borderId="20" xfId="50" applyFont="1" applyFill="1" applyBorder="1" applyAlignment="1">
      <alignment vertical="top" wrapText="1"/>
    </xf>
    <xf numFmtId="0" fontId="1" fillId="0" borderId="0" xfId="50"/>
    <xf numFmtId="0" fontId="4" fillId="31" borderId="0" xfId="1" applyFont="1" applyFill="1"/>
    <xf numFmtId="0" fontId="5" fillId="31" borderId="11" xfId="1" applyFont="1" applyFill="1" applyBorder="1" applyAlignment="1">
      <alignment horizontal="center" vertical="center" textRotation="90"/>
    </xf>
    <xf numFmtId="0" fontId="0" fillId="31" borderId="22" xfId="0" applyFill="1" applyBorder="1" applyAlignment="1">
      <alignment vertical="center"/>
    </xf>
    <xf numFmtId="2" fontId="47" fillId="0" borderId="22" xfId="0" applyNumberFormat="1" applyFont="1" applyFill="1" applyBorder="1" applyAlignment="1">
      <alignment horizontal="center" vertical="center"/>
    </xf>
    <xf numFmtId="2" fontId="47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1" fillId="36" borderId="21" xfId="0" applyFont="1" applyFill="1" applyBorder="1" applyAlignment="1">
      <alignment horizontal="center" vertical="center" wrapText="1"/>
    </xf>
    <xf numFmtId="0" fontId="15" fillId="36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/>
    <xf numFmtId="0" fontId="15" fillId="0" borderId="0" xfId="0" applyFont="1" applyFill="1" applyBorder="1"/>
    <xf numFmtId="0" fontId="10" fillId="0" borderId="0" xfId="50" applyFont="1" applyFill="1" applyBorder="1" applyAlignment="1">
      <alignment vertical="top" wrapText="1"/>
    </xf>
    <xf numFmtId="0" fontId="1" fillId="0" borderId="0" xfId="50" applyFont="1" applyFill="1" applyBorder="1" applyAlignment="1">
      <alignment horizontal="left" vertical="top" wrapText="1"/>
    </xf>
    <xf numFmtId="165" fontId="15" fillId="0" borderId="0" xfId="0" applyNumberFormat="1" applyFont="1" applyFill="1" applyAlignment="1">
      <alignment horizontal="right" vertical="center"/>
    </xf>
    <xf numFmtId="2" fontId="33" fillId="0" borderId="5" xfId="0" applyNumberFormat="1" applyFont="1" applyFill="1" applyBorder="1"/>
    <xf numFmtId="0" fontId="7" fillId="0" borderId="0" xfId="0" applyFont="1" applyAlignment="1">
      <alignment horizontal="right"/>
    </xf>
    <xf numFmtId="166" fontId="0" fillId="0" borderId="0" xfId="0" applyNumberFormat="1"/>
    <xf numFmtId="0" fontId="10" fillId="37" borderId="52" xfId="0" applyFont="1" applyFill="1" applyBorder="1" applyAlignment="1">
      <alignment horizontal="center" vertical="center" wrapText="1"/>
    </xf>
    <xf numFmtId="166" fontId="0" fillId="0" borderId="5" xfId="0" applyNumberFormat="1" applyFill="1" applyBorder="1"/>
    <xf numFmtId="166" fontId="0" fillId="0" borderId="22" xfId="0" applyNumberFormat="1" applyFill="1" applyBorder="1"/>
    <xf numFmtId="0" fontId="4" fillId="27" borderId="0" xfId="0" applyFont="1" applyFill="1" applyBorder="1"/>
    <xf numFmtId="0" fontId="4" fillId="27" borderId="0" xfId="0" applyFont="1" applyFill="1"/>
    <xf numFmtId="0" fontId="5" fillId="27" borderId="0" xfId="0" applyFont="1" applyFill="1" applyBorder="1" applyAlignment="1">
      <alignment horizontal="left" vertical="center"/>
    </xf>
    <xf numFmtId="0" fontId="50" fillId="27" borderId="55" xfId="0" applyFont="1" applyFill="1" applyBorder="1" applyAlignment="1">
      <alignment horizontal="right" textRotation="90" wrapText="1"/>
    </xf>
    <xf numFmtId="0" fontId="50" fillId="27" borderId="56" xfId="0" applyFont="1" applyFill="1" applyBorder="1" applyAlignment="1">
      <alignment horizontal="right" textRotation="90" wrapText="1"/>
    </xf>
    <xf numFmtId="0" fontId="50" fillId="27" borderId="13" xfId="0" applyFont="1" applyFill="1" applyBorder="1" applyAlignment="1">
      <alignment horizontal="right" textRotation="90" wrapText="1"/>
    </xf>
    <xf numFmtId="0" fontId="7" fillId="32" borderId="0" xfId="0" applyFont="1" applyFill="1"/>
    <xf numFmtId="4" fontId="7" fillId="32" borderId="5" xfId="0" applyNumberFormat="1" applyFont="1" applyFill="1" applyBorder="1" applyAlignment="1">
      <alignment horizontal="right"/>
    </xf>
    <xf numFmtId="4" fontId="4" fillId="32" borderId="5" xfId="0" applyNumberFormat="1" applyFont="1" applyFill="1" applyBorder="1"/>
    <xf numFmtId="0" fontId="7" fillId="32" borderId="5" xfId="0" applyFont="1" applyFill="1" applyBorder="1"/>
    <xf numFmtId="4" fontId="7" fillId="0" borderId="5" xfId="0" applyNumberFormat="1" applyFont="1" applyFill="1" applyBorder="1" applyAlignment="1">
      <alignment horizontal="right"/>
    </xf>
    <xf numFmtId="0" fontId="7" fillId="0" borderId="0" xfId="0" applyFont="1" applyFill="1"/>
    <xf numFmtId="4" fontId="4" fillId="0" borderId="5" xfId="0" applyNumberFormat="1" applyFont="1" applyFill="1" applyBorder="1"/>
    <xf numFmtId="0" fontId="7" fillId="0" borderId="5" xfId="0" applyFont="1" applyFill="1" applyBorder="1"/>
    <xf numFmtId="0" fontId="50" fillId="27" borderId="57" xfId="0" applyFont="1" applyFill="1" applyBorder="1" applyAlignment="1">
      <alignment horizontal="right" textRotation="90" wrapText="1"/>
    </xf>
    <xf numFmtId="0" fontId="50" fillId="27" borderId="51" xfId="0" applyFont="1" applyFill="1" applyBorder="1" applyAlignment="1">
      <alignment horizontal="right" textRotation="90" wrapText="1"/>
    </xf>
    <xf numFmtId="0" fontId="4" fillId="32" borderId="0" xfId="0" applyFont="1" applyFill="1"/>
    <xf numFmtId="0" fontId="4" fillId="0" borderId="0" xfId="0" applyFont="1" applyFill="1"/>
    <xf numFmtId="0" fontId="4" fillId="32" borderId="5" xfId="0" applyFont="1" applyFill="1" applyBorder="1"/>
    <xf numFmtId="0" fontId="5" fillId="27" borderId="0" xfId="0" applyFont="1" applyFill="1" applyAlignment="1">
      <alignment horizontal="center" vertical="center"/>
    </xf>
    <xf numFmtId="0" fontId="0" fillId="0" borderId="0" xfId="0" applyFill="1"/>
    <xf numFmtId="0" fontId="4" fillId="0" borderId="22" xfId="0" applyFont="1" applyFill="1" applyBorder="1"/>
    <xf numFmtId="0" fontId="0" fillId="32" borderId="0" xfId="0" applyFill="1"/>
    <xf numFmtId="0" fontId="7" fillId="0" borderId="0" xfId="0" applyFont="1"/>
    <xf numFmtId="14" fontId="0" fillId="0" borderId="0" xfId="0" applyNumberFormat="1"/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1" fillId="36" borderId="18" xfId="0" applyFont="1" applyFill="1" applyBorder="1" applyAlignment="1">
      <alignment horizontal="center" vertical="center" wrapText="1"/>
    </xf>
    <xf numFmtId="0" fontId="11" fillId="36" borderId="21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5" fillId="3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36" fillId="0" borderId="3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0" fontId="36" fillId="0" borderId="44" xfId="0" applyFont="1" applyBorder="1" applyAlignment="1">
      <alignment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44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3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34" xfId="0" applyFont="1" applyFill="1" applyBorder="1" applyAlignment="1">
      <alignment horizontal="center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</cellXfs>
  <cellStyles count="51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" xfId="49" builtin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3" xfId="50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im's%20Bids\FY18%20Solicitations\Facility%20Department\RFQ's%20Folder\RFQ730-18098%20CMAR%20UH%20Core%20Building%20Renovations\Evaluator%20Matrix%20RFQ730-18098.RFP730-19043%20CMAR%20Core%20-%20HUB%20Department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Summary"/>
    </sheetNames>
    <sheetDataSet>
      <sheetData sheetId="0">
        <row r="6">
          <cell r="A6" t="str">
            <v>Evaluator Matrix RFQ730-18098.RFP730-19043 (Shortlist) CMAR Core Building Renovations</v>
          </cell>
        </row>
        <row r="13">
          <cell r="E1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workbookViewId="0">
      <selection activeCell="D32" sqref="D32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55</v>
      </c>
    </row>
    <row r="2" spans="1:2" ht="13.5" thickBot="1" x14ac:dyDescent="0.25"/>
    <row r="3" spans="1:2" ht="26.25" customHeight="1" thickTop="1" x14ac:dyDescent="0.2">
      <c r="A3" s="40" t="s">
        <v>2</v>
      </c>
    </row>
    <row r="4" spans="1:2" ht="15" x14ac:dyDescent="0.2">
      <c r="A4" s="57" t="s">
        <v>56</v>
      </c>
      <c r="B4" s="41">
        <v>1</v>
      </c>
    </row>
    <row r="5" spans="1:2" ht="15" x14ac:dyDescent="0.2">
      <c r="A5" s="57" t="s">
        <v>39</v>
      </c>
      <c r="B5" s="38">
        <v>2</v>
      </c>
    </row>
    <row r="6" spans="1:2" ht="15" x14ac:dyDescent="0.2">
      <c r="A6" s="57" t="s">
        <v>40</v>
      </c>
      <c r="B6" s="41">
        <v>3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24" sqref="O24"/>
    </sheetView>
  </sheetViews>
  <sheetFormatPr defaultRowHeight="12.75" x14ac:dyDescent="0.2"/>
  <cols>
    <col min="1" max="1" width="33.140625" customWidth="1"/>
    <col min="2" max="2" width="9" customWidth="1"/>
    <col min="9" max="9" width="9.140625" customWidth="1"/>
  </cols>
  <sheetData>
    <row r="1" spans="1:11" ht="15.75" x14ac:dyDescent="0.25">
      <c r="A1" s="173" t="s">
        <v>63</v>
      </c>
      <c r="B1" s="173"/>
      <c r="C1" s="173"/>
      <c r="D1" s="173"/>
      <c r="E1" s="173"/>
      <c r="F1" s="173"/>
      <c r="G1" s="173"/>
      <c r="H1" s="173"/>
      <c r="I1" s="173"/>
      <c r="J1" s="173"/>
      <c r="K1" s="134"/>
    </row>
    <row r="2" spans="1:11" ht="15.75" x14ac:dyDescent="0.25">
      <c r="A2" s="174" t="str">
        <f>'RFP Responses'!A1</f>
        <v>Evaluation Summary RFQ730-19048.RFP730-19073 (Shortlist) CMAR New UH COM</v>
      </c>
      <c r="B2" s="174"/>
      <c r="C2" s="174"/>
      <c r="D2" s="174"/>
      <c r="E2" s="174"/>
      <c r="F2" s="174"/>
      <c r="G2" s="174"/>
      <c r="H2" s="133"/>
      <c r="I2" s="134"/>
      <c r="J2" s="134"/>
      <c r="K2" s="134"/>
    </row>
    <row r="3" spans="1:11" ht="15.75" thickBo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96" customHeight="1" x14ac:dyDescent="0.2">
      <c r="A4" s="135"/>
      <c r="B4" s="136" t="s">
        <v>71</v>
      </c>
      <c r="C4" s="136" t="s">
        <v>72</v>
      </c>
      <c r="D4" s="136" t="s">
        <v>73</v>
      </c>
      <c r="E4" s="136" t="s">
        <v>74</v>
      </c>
      <c r="F4" s="136" t="s">
        <v>75</v>
      </c>
      <c r="G4" s="137" t="s">
        <v>58</v>
      </c>
      <c r="H4" s="137" t="s">
        <v>59</v>
      </c>
      <c r="I4" s="137" t="s">
        <v>60</v>
      </c>
      <c r="J4" s="138" t="s">
        <v>14</v>
      </c>
      <c r="K4" s="152"/>
    </row>
    <row r="5" spans="1:11" s="153" customFormat="1" ht="15" x14ac:dyDescent="0.2">
      <c r="A5" s="144" t="str">
        <f>'RFP Responses'!A4</f>
        <v>Austin Commercial</v>
      </c>
      <c r="B5" s="143">
        <f>'Evaluator 1'!H5</f>
        <v>73.050663338244632</v>
      </c>
      <c r="C5" s="143">
        <f>'Evaluator 2'!H5</f>
        <v>70.550663338244632</v>
      </c>
      <c r="D5" s="143">
        <f>'Evaluator 3'!H5</f>
        <v>74.050663338244632</v>
      </c>
      <c r="E5" s="143">
        <f>'Eavluator 4'!H5</f>
        <v>64.550663338244632</v>
      </c>
      <c r="F5" s="143">
        <f>'Evaluator 5'!H5</f>
        <v>70.35066333824463</v>
      </c>
      <c r="G5" s="143">
        <f>AVERAGE(B5:F5)</f>
        <v>70.510663338244626</v>
      </c>
      <c r="H5" s="143">
        <f>'HUB Department'!F5</f>
        <v>8</v>
      </c>
      <c r="I5" s="145">
        <f>G5+H5</f>
        <v>78.510663338244626</v>
      </c>
      <c r="J5" s="146">
        <f>RANK(I5,$I$5:$I$7,0)</f>
        <v>3</v>
      </c>
      <c r="K5" s="150"/>
    </row>
    <row r="6" spans="1:11" s="155" customFormat="1" ht="15" x14ac:dyDescent="0.2">
      <c r="A6" s="139" t="str">
        <f>'RFP Responses'!A5</f>
        <v>J.T. Vaughn Construction</v>
      </c>
      <c r="B6" s="140">
        <f>'Evaluator 1'!H6</f>
        <v>76.888194277633787</v>
      </c>
      <c r="C6" s="140">
        <f>'Evaluator 2'!H6</f>
        <v>82.388194277633787</v>
      </c>
      <c r="D6" s="140">
        <f>'Evaluator 3'!H6</f>
        <v>88.388194277633787</v>
      </c>
      <c r="E6" s="140">
        <f>'Eavluator 4'!H6</f>
        <v>88.388194277633787</v>
      </c>
      <c r="F6" s="140">
        <f>'Evaluator 5'!H6</f>
        <v>87.888194277633787</v>
      </c>
      <c r="G6" s="140">
        <f>AVERAGE(B6:F6)</f>
        <v>84.788194277633778</v>
      </c>
      <c r="H6" s="140">
        <f>'HUB Department'!F6</f>
        <v>10</v>
      </c>
      <c r="I6" s="141">
        <f t="shared" ref="I6:I7" si="0">G6+H6</f>
        <v>94.788194277633778</v>
      </c>
      <c r="J6" s="142">
        <f>RANK(I6,$I$5:$I$7,0)</f>
        <v>1</v>
      </c>
      <c r="K6" s="149"/>
    </row>
    <row r="7" spans="1:11" ht="15" x14ac:dyDescent="0.2">
      <c r="A7" s="144" t="str">
        <f>'RFP Responses'!A6</f>
        <v>Tellepsen</v>
      </c>
      <c r="B7" s="143">
        <f>'Evaluator 1'!H7</f>
        <v>78.5</v>
      </c>
      <c r="C7" s="143">
        <f>'Evaluator 2'!H7</f>
        <v>72.5</v>
      </c>
      <c r="D7" s="143">
        <f>'Evaluator 3'!H7</f>
        <v>79</v>
      </c>
      <c r="E7" s="143">
        <f>'Eavluator 4'!H7</f>
        <v>61</v>
      </c>
      <c r="F7" s="143">
        <f>'Evaluator 5'!H7</f>
        <v>72.5</v>
      </c>
      <c r="G7" s="143">
        <f>AVERAGE(B7:F7)</f>
        <v>72.7</v>
      </c>
      <c r="H7" s="143">
        <f>'HUB Department'!F7</f>
        <v>8</v>
      </c>
      <c r="I7" s="145">
        <f t="shared" si="0"/>
        <v>80.7</v>
      </c>
      <c r="J7" s="146">
        <f>RANK(I7,$I$5:$I$7,0)</f>
        <v>2</v>
      </c>
      <c r="K7" s="150"/>
    </row>
    <row r="8" spans="1:11" ht="15" x14ac:dyDescent="0.2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15" x14ac:dyDescent="0.2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</row>
    <row r="10" spans="1:11" ht="15.75" thickBot="1" x14ac:dyDescent="0.2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23.75" thickBot="1" x14ac:dyDescent="0.25">
      <c r="A11" s="134"/>
      <c r="B11" s="147" t="str">
        <f>B4</f>
        <v>Evaluator 1</v>
      </c>
      <c r="C11" s="147" t="str">
        <f>C4</f>
        <v>Evaluator 2</v>
      </c>
      <c r="D11" s="147" t="str">
        <f>D4</f>
        <v>Evaluator 3</v>
      </c>
      <c r="E11" s="147" t="str">
        <f>E4</f>
        <v>Evaluator 4</v>
      </c>
      <c r="F11" s="147" t="str">
        <f>F4</f>
        <v>Evaluator 5</v>
      </c>
      <c r="G11" s="147" t="s">
        <v>61</v>
      </c>
      <c r="H11" s="148" t="s">
        <v>62</v>
      </c>
      <c r="I11" s="134"/>
      <c r="J11" s="134"/>
      <c r="K11" s="134"/>
    </row>
    <row r="12" spans="1:11" s="153" customFormat="1" ht="15" x14ac:dyDescent="0.2">
      <c r="A12" s="144" t="str">
        <f>'RFP Responses'!A4</f>
        <v>Austin Commercial</v>
      </c>
      <c r="B12" s="154">
        <f>RANK(B5,$B$5:$B$7,0)</f>
        <v>3</v>
      </c>
      <c r="C12" s="154">
        <f>RANK(C5,$C$5:$C$7,0)</f>
        <v>3</v>
      </c>
      <c r="D12" s="154">
        <f>RANK(D5,$D$5:$D$7,0)</f>
        <v>3</v>
      </c>
      <c r="E12" s="154">
        <f>RANK(E5,$E$5:$E$7,0)</f>
        <v>2</v>
      </c>
      <c r="F12" s="154">
        <f>RANK(F5,$F$5:$F$7,0)</f>
        <v>3</v>
      </c>
      <c r="G12" s="154">
        <f t="shared" ref="G12:G14" si="1">AVERAGE(B12:F12)</f>
        <v>2.8</v>
      </c>
      <c r="H12" s="154">
        <f>RANK(G12,$G$12:$G$14,1)</f>
        <v>3</v>
      </c>
      <c r="I12" s="150"/>
      <c r="J12" s="150"/>
      <c r="K12" s="150"/>
    </row>
    <row r="13" spans="1:11" s="155" customFormat="1" ht="15" x14ac:dyDescent="0.2">
      <c r="A13" s="139" t="str">
        <f>'RFP Responses'!A5</f>
        <v>J.T. Vaughn Construction</v>
      </c>
      <c r="B13" s="151">
        <f>RANK(B6,$B$5:$B$7,0)</f>
        <v>2</v>
      </c>
      <c r="C13" s="151">
        <f>RANK(C6,$C$5:$C$7,0)</f>
        <v>1</v>
      </c>
      <c r="D13" s="151">
        <f>RANK(D6,$D$5:$D$7,0)</f>
        <v>1</v>
      </c>
      <c r="E13" s="151">
        <f>RANK(E6,$E$5:$E$7,0)</f>
        <v>1</v>
      </c>
      <c r="F13" s="151">
        <f>RANK(F6,$F$5:$F$7,0)</f>
        <v>1</v>
      </c>
      <c r="G13" s="151">
        <f t="shared" si="1"/>
        <v>1.2</v>
      </c>
      <c r="H13" s="151">
        <f>RANK(G13,$G$12:$G$14,1)</f>
        <v>1</v>
      </c>
      <c r="I13" s="149"/>
      <c r="J13" s="149"/>
      <c r="K13" s="149"/>
    </row>
    <row r="14" spans="1:11" ht="15" x14ac:dyDescent="0.2">
      <c r="A14" s="144" t="str">
        <f>'RFP Responses'!A6</f>
        <v>Tellepsen</v>
      </c>
      <c r="B14" s="37">
        <f>RANK(B7,$B$5:$B$7,0)</f>
        <v>1</v>
      </c>
      <c r="C14" s="37">
        <f>RANK(C7,$C$5:$C$7,0)</f>
        <v>2</v>
      </c>
      <c r="D14" s="37">
        <f>RANK(D7,$D$5:$D$7,0)</f>
        <v>2</v>
      </c>
      <c r="E14" s="37">
        <f>RANK(E7,$E$5:$E$7,0)</f>
        <v>3</v>
      </c>
      <c r="F14" s="37">
        <f>RANK(F7,$F$5:$F$7,0)</f>
        <v>2</v>
      </c>
      <c r="G14" s="37">
        <f t="shared" si="1"/>
        <v>2</v>
      </c>
      <c r="H14" s="37">
        <f>RANK(G14,$G$12:$G$14,1)</f>
        <v>2</v>
      </c>
      <c r="I14" s="150"/>
      <c r="J14" s="150"/>
      <c r="K14" s="150"/>
    </row>
    <row r="15" spans="1:11" ht="15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20" spans="1:2" x14ac:dyDescent="0.2">
      <c r="A20" s="156" t="s">
        <v>69</v>
      </c>
      <c r="B20" s="157">
        <v>43521</v>
      </c>
    </row>
    <row r="21" spans="1:2" x14ac:dyDescent="0.2">
      <c r="A21" s="156" t="s">
        <v>70</v>
      </c>
      <c r="B21" s="157">
        <v>43521</v>
      </c>
    </row>
  </sheetData>
  <mergeCells count="2">
    <mergeCell ref="A1:J1"/>
    <mergeCell ref="A2:G2"/>
  </mergeCells>
  <conditionalFormatting sqref="H12:H14">
    <cfRule type="cellIs" dxfId="1" priority="1" operator="equal">
      <formula>1</formula>
    </cfRule>
  </conditionalFormatting>
  <conditionalFormatting sqref="J5:J7">
    <cfRule type="cellIs" dxfId="0" priority="2" operator="equal"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41" sqref="L40:L41"/>
    </sheetView>
  </sheetViews>
  <sheetFormatPr defaultRowHeight="12.75" x14ac:dyDescent="0.2"/>
  <cols>
    <col min="1" max="1" width="36" customWidth="1"/>
    <col min="5" max="5" width="37.28515625" customWidth="1"/>
  </cols>
  <sheetData>
    <row r="1" spans="1:11" ht="15.75" x14ac:dyDescent="0.25">
      <c r="A1" s="162" t="s">
        <v>18</v>
      </c>
      <c r="B1" s="162"/>
      <c r="C1" s="162"/>
      <c r="D1" s="162"/>
      <c r="E1" s="162"/>
      <c r="F1" s="162"/>
      <c r="G1" s="162"/>
      <c r="H1" s="162"/>
      <c r="I1" s="32"/>
      <c r="J1" s="32"/>
      <c r="K1" s="32"/>
    </row>
    <row r="2" spans="1:11" ht="15.75" x14ac:dyDescent="0.25">
      <c r="A2" s="189" t="str">
        <f>[1]Cover!$A$6</f>
        <v>Evaluator Matrix RFQ730-18098.RFP730-19043 (Shortlist) CMAR Core Building Renovations</v>
      </c>
      <c r="B2" s="162"/>
      <c r="C2" s="162"/>
      <c r="D2" s="162"/>
      <c r="E2" s="162"/>
      <c r="F2" s="162"/>
      <c r="G2" s="162"/>
      <c r="H2" s="162"/>
      <c r="I2" s="32"/>
      <c r="J2" s="32"/>
      <c r="K2" s="32"/>
    </row>
    <row r="3" spans="1:11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6.5" thickBot="1" x14ac:dyDescent="0.3">
      <c r="A4" s="32" t="s">
        <v>19</v>
      </c>
      <c r="B4" s="190"/>
      <c r="C4" s="190"/>
      <c r="D4" s="190"/>
      <c r="E4" s="190"/>
      <c r="F4" s="32"/>
      <c r="G4" s="32"/>
      <c r="H4" s="32"/>
      <c r="I4" s="32"/>
      <c r="J4" s="32"/>
      <c r="K4" s="32"/>
    </row>
    <row r="5" spans="1:11" ht="15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.75" thickBot="1" x14ac:dyDescent="0.25">
      <c r="A6" s="32" t="s">
        <v>20</v>
      </c>
      <c r="B6" s="191">
        <f>[1]Cover!$E$13</f>
        <v>0</v>
      </c>
      <c r="C6" s="191"/>
      <c r="D6" s="191"/>
      <c r="E6" s="191"/>
      <c r="F6" s="32"/>
      <c r="G6" s="32"/>
      <c r="H6" s="32"/>
      <c r="I6" s="32"/>
      <c r="J6" s="32"/>
      <c r="K6" s="32"/>
    </row>
    <row r="7" spans="1:11" ht="15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5" x14ac:dyDescent="0.2">
      <c r="A8" s="192" t="s">
        <v>21</v>
      </c>
      <c r="B8" s="192"/>
      <c r="C8" s="192"/>
      <c r="D8" s="192"/>
      <c r="E8" s="192"/>
      <c r="F8" s="192"/>
      <c r="G8" s="192"/>
      <c r="H8" s="192"/>
      <c r="I8" s="32"/>
      <c r="J8" s="32"/>
      <c r="K8" s="32"/>
    </row>
    <row r="9" spans="1:11" ht="15" x14ac:dyDescent="0.2">
      <c r="A9" s="192"/>
      <c r="B9" s="192"/>
      <c r="C9" s="192"/>
      <c r="D9" s="192"/>
      <c r="E9" s="192"/>
      <c r="F9" s="192"/>
      <c r="G9" s="192"/>
      <c r="H9" s="192"/>
      <c r="I9" s="32"/>
      <c r="J9" s="32"/>
      <c r="K9" s="32"/>
    </row>
    <row r="10" spans="1:11" ht="15.75" thickBo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16.5" thickTop="1" x14ac:dyDescent="0.25">
      <c r="A11" s="177" t="s">
        <v>22</v>
      </c>
      <c r="B11" s="178"/>
      <c r="C11" s="178"/>
      <c r="D11" s="178"/>
      <c r="E11" s="193"/>
      <c r="F11" s="32"/>
      <c r="G11" s="32"/>
      <c r="H11" s="32"/>
      <c r="I11" s="32"/>
      <c r="J11" s="32"/>
      <c r="K11" s="32"/>
    </row>
    <row r="12" spans="1:11" ht="15" x14ac:dyDescent="0.2">
      <c r="A12" s="194" t="s">
        <v>23</v>
      </c>
      <c r="B12" s="195"/>
      <c r="C12" s="195"/>
      <c r="D12" s="195"/>
      <c r="E12" s="196"/>
      <c r="F12" s="32"/>
      <c r="G12" s="32"/>
      <c r="H12" s="32"/>
      <c r="I12" s="32"/>
      <c r="J12" s="32"/>
      <c r="K12" s="32"/>
    </row>
    <row r="13" spans="1:11" ht="15" x14ac:dyDescent="0.2">
      <c r="A13" s="197" t="s">
        <v>24</v>
      </c>
      <c r="B13" s="198"/>
      <c r="C13" s="198"/>
      <c r="D13" s="198"/>
      <c r="E13" s="199"/>
      <c r="F13" s="32"/>
      <c r="G13" s="32"/>
      <c r="H13" s="32"/>
      <c r="I13" s="32"/>
      <c r="J13" s="32"/>
      <c r="K13" s="32"/>
    </row>
    <row r="14" spans="1:11" ht="15" x14ac:dyDescent="0.2">
      <c r="A14" s="197" t="s">
        <v>25</v>
      </c>
      <c r="B14" s="198"/>
      <c r="C14" s="198"/>
      <c r="D14" s="198"/>
      <c r="E14" s="199"/>
      <c r="F14" s="32"/>
      <c r="G14" s="32"/>
      <c r="H14" s="32"/>
      <c r="I14" s="32"/>
      <c r="J14" s="32"/>
      <c r="K14" s="32"/>
    </row>
    <row r="15" spans="1:11" ht="15" x14ac:dyDescent="0.2">
      <c r="A15" s="197" t="s">
        <v>26</v>
      </c>
      <c r="B15" s="198"/>
      <c r="C15" s="198"/>
      <c r="D15" s="198"/>
      <c r="E15" s="199"/>
      <c r="F15" s="32"/>
      <c r="G15" s="32"/>
      <c r="H15" s="32"/>
      <c r="I15" s="32"/>
      <c r="J15" s="32"/>
      <c r="K15" s="32"/>
    </row>
    <row r="16" spans="1:11" ht="15" x14ac:dyDescent="0.2">
      <c r="A16" s="197" t="s">
        <v>27</v>
      </c>
      <c r="B16" s="198"/>
      <c r="C16" s="198"/>
      <c r="D16" s="198"/>
      <c r="E16" s="199"/>
      <c r="F16" s="32"/>
      <c r="G16" s="32"/>
      <c r="H16" s="32"/>
      <c r="I16" s="32"/>
      <c r="J16" s="32"/>
      <c r="K16" s="32"/>
    </row>
    <row r="17" spans="1:11" ht="15.75" thickBot="1" x14ac:dyDescent="0.25">
      <c r="A17" s="186" t="s">
        <v>28</v>
      </c>
      <c r="B17" s="187"/>
      <c r="C17" s="187"/>
      <c r="D17" s="187"/>
      <c r="E17" s="188"/>
      <c r="F17" s="32"/>
      <c r="G17" s="32"/>
      <c r="H17" s="32"/>
      <c r="I17" s="32"/>
      <c r="J17" s="32"/>
      <c r="K17" s="32"/>
    </row>
    <row r="18" spans="1:11" ht="16.5" thickTop="1" thickBo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16.5" thickTop="1" x14ac:dyDescent="0.25">
      <c r="A19" s="177" t="s">
        <v>29</v>
      </c>
      <c r="B19" s="178"/>
      <c r="C19" s="178"/>
      <c r="D19" s="178"/>
      <c r="E19" s="179"/>
      <c r="F19" s="60" t="s">
        <v>30</v>
      </c>
      <c r="G19" s="60" t="s">
        <v>31</v>
      </c>
      <c r="H19" s="61" t="s">
        <v>13</v>
      </c>
      <c r="I19" s="32"/>
      <c r="J19" s="32"/>
      <c r="K19" s="32"/>
    </row>
    <row r="20" spans="1:11" ht="42" customHeight="1" x14ac:dyDescent="0.2">
      <c r="A20" s="180" t="s">
        <v>64</v>
      </c>
      <c r="B20" s="181"/>
      <c r="C20" s="181"/>
      <c r="D20" s="181"/>
      <c r="E20" s="182"/>
      <c r="F20" s="62"/>
      <c r="G20" s="63">
        <v>6</v>
      </c>
      <c r="H20" s="64">
        <f t="shared" ref="H20:H24" si="0">F20*G20</f>
        <v>0</v>
      </c>
      <c r="I20" s="65"/>
      <c r="J20" s="67"/>
      <c r="K20" s="67"/>
    </row>
    <row r="21" spans="1:11" ht="49.5" customHeight="1" x14ac:dyDescent="0.2">
      <c r="A21" s="180" t="s">
        <v>65</v>
      </c>
      <c r="B21" s="181"/>
      <c r="C21" s="181"/>
      <c r="D21" s="181"/>
      <c r="E21" s="182"/>
      <c r="F21" s="62"/>
      <c r="G21" s="63">
        <v>5</v>
      </c>
      <c r="H21" s="64">
        <f t="shared" si="0"/>
        <v>0</v>
      </c>
      <c r="I21" s="65"/>
      <c r="J21" s="65"/>
      <c r="K21" s="65"/>
    </row>
    <row r="22" spans="1:11" ht="42.75" customHeight="1" x14ac:dyDescent="0.2">
      <c r="A22" s="180" t="s">
        <v>66</v>
      </c>
      <c r="B22" s="181"/>
      <c r="C22" s="181"/>
      <c r="D22" s="181"/>
      <c r="E22" s="182"/>
      <c r="F22" s="66"/>
      <c r="G22" s="63">
        <v>6</v>
      </c>
      <c r="H22" s="64">
        <f t="shared" si="0"/>
        <v>0</v>
      </c>
      <c r="I22" s="65"/>
      <c r="J22" s="65" t="s">
        <v>42</v>
      </c>
      <c r="K22" s="65"/>
    </row>
    <row r="23" spans="1:11" ht="44.25" customHeight="1" x14ac:dyDescent="0.2">
      <c r="A23" s="180" t="s">
        <v>67</v>
      </c>
      <c r="B23" s="181"/>
      <c r="C23" s="181"/>
      <c r="D23" s="181"/>
      <c r="E23" s="182"/>
      <c r="F23" s="62"/>
      <c r="G23" s="63">
        <v>1</v>
      </c>
      <c r="H23" s="64">
        <f t="shared" si="0"/>
        <v>0</v>
      </c>
      <c r="I23" s="65"/>
      <c r="J23" s="65"/>
      <c r="K23" s="65"/>
    </row>
    <row r="24" spans="1:11" ht="40.5" customHeight="1" x14ac:dyDescent="0.2">
      <c r="A24" s="183" t="s">
        <v>68</v>
      </c>
      <c r="B24" s="184"/>
      <c r="C24" s="184"/>
      <c r="D24" s="184"/>
      <c r="E24" s="185"/>
      <c r="F24" s="66"/>
      <c r="G24" s="63">
        <v>2</v>
      </c>
      <c r="H24" s="64">
        <f t="shared" si="0"/>
        <v>0</v>
      </c>
      <c r="I24" s="65"/>
      <c r="J24" s="65" t="s">
        <v>43</v>
      </c>
      <c r="K24" s="65"/>
    </row>
    <row r="25" spans="1:11" ht="16.5" thickBot="1" x14ac:dyDescent="0.3">
      <c r="A25" s="32"/>
      <c r="B25" s="32"/>
      <c r="C25" s="32"/>
      <c r="D25" s="32"/>
      <c r="E25" s="32"/>
      <c r="F25" s="32"/>
      <c r="G25" s="68" t="s">
        <v>32</v>
      </c>
      <c r="H25" s="69">
        <f>SUM(H20:H24)</f>
        <v>0</v>
      </c>
      <c r="I25" s="32"/>
      <c r="J25" s="32"/>
      <c r="K25" s="32"/>
    </row>
    <row r="26" spans="1:11" ht="15" x14ac:dyDescent="0.2">
      <c r="A26" s="175" t="s">
        <v>33</v>
      </c>
      <c r="B26" s="175"/>
      <c r="C26" s="175"/>
      <c r="D26" s="175"/>
      <c r="E26" s="175"/>
      <c r="F26" s="32"/>
      <c r="G26" s="32"/>
      <c r="H26" s="32"/>
      <c r="I26" s="32"/>
      <c r="J26" s="32"/>
      <c r="K26" s="32"/>
    </row>
    <row r="27" spans="1:11" ht="15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ht="15" x14ac:dyDescent="0.2">
      <c r="A28" s="176" t="s">
        <v>34</v>
      </c>
      <c r="B28" s="176"/>
      <c r="C28" s="176"/>
      <c r="D28" s="32"/>
      <c r="E28" s="32"/>
      <c r="F28" s="32"/>
      <c r="G28" s="32"/>
      <c r="H28" s="32"/>
      <c r="I28" s="32"/>
      <c r="J28" s="32"/>
      <c r="K28" s="32"/>
    </row>
    <row r="29" spans="1:11" ht="15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protectedRanges>
    <protectedRange sqref="B6:E6" name="Name_1_2_1"/>
    <protectedRange sqref="F20:F24" name="Points_1_1_1"/>
  </protectedRanges>
  <mergeCells count="20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6:E26"/>
    <mergeCell ref="A28:C28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1" customWidth="1"/>
    <col min="2" max="2" width="8.42578125" style="95" customWidth="1"/>
    <col min="3" max="3" width="9.140625" style="11"/>
    <col min="4" max="4" width="9.140625" style="53"/>
    <col min="5" max="5" width="9.140625" style="11" customWidth="1"/>
    <col min="6" max="6" width="9.140625" style="53" customWidth="1"/>
    <col min="7" max="7" width="16.42578125" style="11" customWidth="1"/>
    <col min="8" max="8" width="17.5703125" style="11" bestFit="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8" ht="15.75" x14ac:dyDescent="0.25">
      <c r="A1" s="158" t="s">
        <v>0</v>
      </c>
      <c r="B1" s="159"/>
      <c r="C1" s="159"/>
      <c r="D1" s="159"/>
      <c r="E1" s="159"/>
      <c r="F1" s="159"/>
      <c r="G1" s="159"/>
      <c r="H1" s="159"/>
    </row>
    <row r="2" spans="1:8" ht="45.75" customHeight="1" x14ac:dyDescent="0.2">
      <c r="A2" s="160" t="str">
        <f>'RFP Responses'!A1</f>
        <v>Evaluation Summary RFQ730-19048.RFP730-19073 (Shortlist) CMAR New UH COM</v>
      </c>
      <c r="B2" s="161"/>
      <c r="C2" s="161"/>
      <c r="D2" s="161"/>
      <c r="E2" s="161"/>
      <c r="F2" s="161"/>
      <c r="G2" s="161"/>
      <c r="H2" s="161"/>
    </row>
    <row r="3" spans="1:8" ht="15.75" thickBot="1" x14ac:dyDescent="0.25">
      <c r="H3" s="12"/>
    </row>
    <row r="4" spans="1:8" s="16" customFormat="1" ht="130.5" customHeight="1" thickTop="1" thickBot="1" x14ac:dyDescent="0.25">
      <c r="A4" s="13" t="s">
        <v>5</v>
      </c>
      <c r="B4" s="96" t="s">
        <v>41</v>
      </c>
      <c r="C4" s="14" t="s">
        <v>57</v>
      </c>
      <c r="D4" s="98" t="s">
        <v>35</v>
      </c>
      <c r="E4" s="14" t="s">
        <v>36</v>
      </c>
      <c r="F4" s="98" t="s">
        <v>37</v>
      </c>
      <c r="G4" s="15" t="s">
        <v>17</v>
      </c>
      <c r="H4" s="15" t="s">
        <v>6</v>
      </c>
    </row>
    <row r="5" spans="1:8" s="16" customFormat="1" ht="16.5" thickTop="1" x14ac:dyDescent="0.2">
      <c r="A5" s="17" t="str">
        <f>'RFP Responses'!A4</f>
        <v>Austin Commercial</v>
      </c>
      <c r="B5" s="97">
        <v>24</v>
      </c>
      <c r="C5" s="37">
        <v>22.5</v>
      </c>
      <c r="D5" s="127">
        <v>22.550663338244632</v>
      </c>
      <c r="E5" s="43">
        <v>4</v>
      </c>
      <c r="F5" s="55">
        <v>0</v>
      </c>
      <c r="G5" s="90">
        <f>B5+C5+E5</f>
        <v>50.5</v>
      </c>
      <c r="H5" s="30">
        <f>SUM(B5:F5)</f>
        <v>73.050663338244632</v>
      </c>
    </row>
    <row r="6" spans="1:8" x14ac:dyDescent="0.2">
      <c r="A6" s="17" t="str">
        <f>'RFP Responses'!A5</f>
        <v>J.T. Vaughn Construction</v>
      </c>
      <c r="B6" s="97">
        <v>24</v>
      </c>
      <c r="C6" s="37">
        <v>20</v>
      </c>
      <c r="D6" s="127">
        <v>28.38819427763379</v>
      </c>
      <c r="E6" s="42">
        <v>4.5</v>
      </c>
      <c r="F6" s="55">
        <v>0</v>
      </c>
      <c r="G6" s="90">
        <f t="shared" ref="G6:G7" si="0">B6+C6+E6</f>
        <v>48.5</v>
      </c>
      <c r="H6" s="30">
        <f>SUM(B6:F6)</f>
        <v>76.888194277633787</v>
      </c>
    </row>
    <row r="7" spans="1:8" x14ac:dyDescent="0.2">
      <c r="A7" s="17" t="str">
        <f>'RFP Responses'!A6</f>
        <v>Tellepsen</v>
      </c>
      <c r="B7" s="97">
        <v>24</v>
      </c>
      <c r="C7" s="37">
        <v>20</v>
      </c>
      <c r="D7" s="127">
        <v>30</v>
      </c>
      <c r="E7" s="42">
        <v>4.5</v>
      </c>
      <c r="F7" s="55">
        <v>0</v>
      </c>
      <c r="G7" s="90">
        <f t="shared" si="0"/>
        <v>48.5</v>
      </c>
      <c r="H7" s="30">
        <f>SUM(B7:F7)</f>
        <v>78.5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1" customWidth="1"/>
    <col min="2" max="2" width="6.140625" style="95" customWidth="1"/>
    <col min="3" max="3" width="9.140625" style="95"/>
    <col min="4" max="4" width="9.140625" style="53"/>
    <col min="5" max="5" width="9.140625" style="11"/>
    <col min="6" max="6" width="9.140625" style="53"/>
    <col min="7" max="7" width="17.7109375" style="11" customWidth="1"/>
    <col min="8" max="8" width="17.5703125" style="11" bestFit="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8" ht="15.75" x14ac:dyDescent="0.25">
      <c r="A1" s="158" t="s">
        <v>0</v>
      </c>
      <c r="B1" s="159"/>
      <c r="C1" s="159"/>
      <c r="D1" s="159"/>
      <c r="E1" s="159"/>
      <c r="F1" s="159"/>
      <c r="G1" s="159"/>
      <c r="H1" s="159"/>
    </row>
    <row r="2" spans="1:8" ht="45.75" customHeight="1" x14ac:dyDescent="0.2">
      <c r="A2" s="160" t="str">
        <f>'RFP Responses'!A1</f>
        <v>Evaluation Summary RFQ730-19048.RFP730-19073 (Shortlist) CMAR New UH COM</v>
      </c>
      <c r="B2" s="161"/>
      <c r="C2" s="161"/>
      <c r="D2" s="161"/>
      <c r="E2" s="161"/>
      <c r="F2" s="161"/>
      <c r="G2" s="161"/>
      <c r="H2" s="161"/>
    </row>
    <row r="3" spans="1:8" ht="15.75" thickBot="1" x14ac:dyDescent="0.25">
      <c r="H3" s="12"/>
    </row>
    <row r="4" spans="1:8" s="16" customFormat="1" ht="130.5" customHeight="1" thickTop="1" thickBot="1" x14ac:dyDescent="0.25">
      <c r="A4" s="13" t="s">
        <v>5</v>
      </c>
      <c r="B4" s="96" t="str">
        <f>'Evaluator 1'!B4</f>
        <v>Criterion 1 &amp; 3</v>
      </c>
      <c r="C4" s="96" t="str">
        <f>'Evaluator 1'!C4</f>
        <v xml:space="preserve">Criterion 2 </v>
      </c>
      <c r="D4" s="98" t="str">
        <f>'Evaluator 1'!D4</f>
        <v>Criterion 4</v>
      </c>
      <c r="E4" s="14" t="str">
        <f>'Evaluator 1'!E4</f>
        <v>Criterion 6</v>
      </c>
      <c r="F4" s="98" t="str">
        <f>'Evaluator 1'!F4</f>
        <v>Criterion 7</v>
      </c>
      <c r="G4" s="15" t="s">
        <v>17</v>
      </c>
      <c r="H4" s="15" t="s">
        <v>6</v>
      </c>
    </row>
    <row r="5" spans="1:8" s="16" customFormat="1" ht="16.5" thickTop="1" x14ac:dyDescent="0.2">
      <c r="A5" s="17" t="str">
        <f>'RFP Responses'!A4</f>
        <v>Austin Commercial</v>
      </c>
      <c r="B5" s="99">
        <v>24</v>
      </c>
      <c r="C5" s="99">
        <v>20</v>
      </c>
      <c r="D5" s="127">
        <v>22.550663338244632</v>
      </c>
      <c r="E5" s="18">
        <v>4</v>
      </c>
      <c r="F5" s="70">
        <v>0</v>
      </c>
      <c r="G5" s="90">
        <f>B5+C5+E5</f>
        <v>48</v>
      </c>
      <c r="H5" s="30">
        <f>SUM(B5:F5)</f>
        <v>70.550663338244632</v>
      </c>
    </row>
    <row r="6" spans="1:8" x14ac:dyDescent="0.2">
      <c r="A6" s="17" t="str">
        <f>'RFP Responses'!A5</f>
        <v>J.T. Vaughn Construction</v>
      </c>
      <c r="B6" s="99">
        <v>27</v>
      </c>
      <c r="C6" s="99">
        <v>22.5</v>
      </c>
      <c r="D6" s="127">
        <v>28.38819427763379</v>
      </c>
      <c r="E6" s="46">
        <v>4.5</v>
      </c>
      <c r="F6" s="70">
        <v>0</v>
      </c>
      <c r="G6" s="90">
        <f t="shared" ref="G6:G7" si="0">B6+C6+E6</f>
        <v>54</v>
      </c>
      <c r="H6" s="30">
        <f>SUM(B6:F6)</f>
        <v>82.388194277633787</v>
      </c>
    </row>
    <row r="7" spans="1:8" x14ac:dyDescent="0.2">
      <c r="A7" s="17" t="str">
        <f>'RFP Responses'!A6</f>
        <v>Tellepsen</v>
      </c>
      <c r="B7" s="99">
        <v>21</v>
      </c>
      <c r="C7" s="99">
        <v>17.5</v>
      </c>
      <c r="D7" s="127">
        <v>30</v>
      </c>
      <c r="E7" s="46">
        <v>4</v>
      </c>
      <c r="F7" s="70">
        <v>0</v>
      </c>
      <c r="G7" s="90">
        <f t="shared" si="0"/>
        <v>42.5</v>
      </c>
      <c r="H7" s="30">
        <f>SUM(B7:F7)</f>
        <v>72.5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1" customWidth="1"/>
    <col min="2" max="3" width="9.140625" style="95"/>
    <col min="4" max="4" width="9.140625" style="53"/>
    <col min="5" max="5" width="9.140625" style="11"/>
    <col min="6" max="6" width="9.7109375" style="53" customWidth="1"/>
    <col min="7" max="7" width="14.7109375" style="11" customWidth="1"/>
    <col min="8" max="8" width="17.5703125" style="11" bestFit="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8" ht="15.75" x14ac:dyDescent="0.25">
      <c r="A1" s="158" t="s">
        <v>0</v>
      </c>
      <c r="B1" s="159"/>
      <c r="C1" s="159"/>
      <c r="D1" s="159"/>
      <c r="E1" s="159"/>
      <c r="F1" s="159"/>
      <c r="G1" s="159"/>
      <c r="H1" s="159"/>
    </row>
    <row r="2" spans="1:8" ht="45.75" customHeight="1" x14ac:dyDescent="0.2">
      <c r="A2" s="160" t="str">
        <f>'RFP Responses'!A1</f>
        <v>Evaluation Summary RFQ730-19048.RFP730-19073 (Shortlist) CMAR New UH COM</v>
      </c>
      <c r="B2" s="161"/>
      <c r="C2" s="161"/>
      <c r="D2" s="161"/>
      <c r="E2" s="161"/>
      <c r="F2" s="161"/>
      <c r="G2" s="161"/>
      <c r="H2" s="161"/>
    </row>
    <row r="3" spans="1:8" ht="15.75" thickBot="1" x14ac:dyDescent="0.25">
      <c r="H3" s="12"/>
    </row>
    <row r="4" spans="1:8" s="16" customFormat="1" ht="130.5" customHeight="1" thickTop="1" thickBot="1" x14ac:dyDescent="0.25">
      <c r="A4" s="13" t="s">
        <v>5</v>
      </c>
      <c r="B4" s="96" t="str">
        <f>'Evaluator 1'!B4</f>
        <v>Criterion 1 &amp; 3</v>
      </c>
      <c r="C4" s="96" t="str">
        <f>'Evaluator 1'!C4</f>
        <v xml:space="preserve">Criterion 2 </v>
      </c>
      <c r="D4" s="98" t="str">
        <f>'Evaluator 1'!D4</f>
        <v>Criterion 4</v>
      </c>
      <c r="E4" s="14" t="str">
        <f>'Evaluator 1'!E4</f>
        <v>Criterion 6</v>
      </c>
      <c r="F4" s="98" t="str">
        <f>'Evaluator 1'!F4</f>
        <v>Criterion 7</v>
      </c>
      <c r="G4" s="15" t="s">
        <v>17</v>
      </c>
      <c r="H4" s="15" t="s">
        <v>6</v>
      </c>
    </row>
    <row r="5" spans="1:8" s="16" customFormat="1" ht="16.5" thickTop="1" x14ac:dyDescent="0.2">
      <c r="A5" s="17" t="str">
        <f>'RFP Responses'!A4</f>
        <v>Austin Commercial</v>
      </c>
      <c r="B5" s="111">
        <v>24</v>
      </c>
      <c r="C5" s="99">
        <v>22.5</v>
      </c>
      <c r="D5" s="127">
        <v>22.550663338244632</v>
      </c>
      <c r="E5" s="113">
        <v>5</v>
      </c>
      <c r="F5" s="114">
        <v>0</v>
      </c>
      <c r="G5" s="90">
        <f>B5+C5+E5</f>
        <v>51.5</v>
      </c>
      <c r="H5" s="30">
        <f>SUM(B5:F5)</f>
        <v>74.050663338244632</v>
      </c>
    </row>
    <row r="6" spans="1:8" x14ac:dyDescent="0.2">
      <c r="A6" s="17" t="str">
        <f>'RFP Responses'!A5</f>
        <v>J.T. Vaughn Construction</v>
      </c>
      <c r="B6" s="112">
        <v>30</v>
      </c>
      <c r="C6" s="99">
        <v>25</v>
      </c>
      <c r="D6" s="127">
        <v>28.38819427763379</v>
      </c>
      <c r="E6" s="115">
        <v>5</v>
      </c>
      <c r="F6" s="114">
        <v>0</v>
      </c>
      <c r="G6" s="90">
        <f t="shared" ref="G6:G7" si="0">B6+C6+E6</f>
        <v>60</v>
      </c>
      <c r="H6" s="30">
        <f>SUM(B6:F6)</f>
        <v>88.388194277633787</v>
      </c>
    </row>
    <row r="7" spans="1:8" x14ac:dyDescent="0.2">
      <c r="A7" s="17" t="str">
        <f>'RFP Responses'!A6</f>
        <v>Tellepsen</v>
      </c>
      <c r="B7" s="112">
        <v>24</v>
      </c>
      <c r="C7" s="99">
        <v>20</v>
      </c>
      <c r="D7" s="127">
        <v>30</v>
      </c>
      <c r="E7" s="115">
        <v>5</v>
      </c>
      <c r="F7" s="114">
        <v>0</v>
      </c>
      <c r="G7" s="90">
        <f t="shared" si="0"/>
        <v>49</v>
      </c>
      <c r="H7" s="30">
        <f>SUM(B7:F7)</f>
        <v>79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1" customWidth="1"/>
    <col min="2" max="3" width="9.140625" style="95"/>
    <col min="4" max="4" width="9.140625" style="53"/>
    <col min="5" max="5" width="9.140625" style="11"/>
    <col min="6" max="6" width="9.140625" style="53"/>
    <col min="7" max="7" width="11.28515625" style="11" customWidth="1"/>
    <col min="8" max="8" width="10.7109375" style="1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8" ht="15.75" x14ac:dyDescent="0.25">
      <c r="A1" s="158" t="s">
        <v>0</v>
      </c>
      <c r="B1" s="159"/>
      <c r="C1" s="159"/>
      <c r="D1" s="159"/>
      <c r="E1" s="159"/>
      <c r="F1" s="159"/>
      <c r="G1" s="159"/>
      <c r="H1" s="159"/>
    </row>
    <row r="2" spans="1:8" ht="45.75" customHeight="1" x14ac:dyDescent="0.2">
      <c r="A2" s="160" t="str">
        <f>'RFP Responses'!A1</f>
        <v>Evaluation Summary RFQ730-19048.RFP730-19073 (Shortlist) CMAR New UH COM</v>
      </c>
      <c r="B2" s="161"/>
      <c r="C2" s="161"/>
      <c r="D2" s="161"/>
      <c r="E2" s="161"/>
      <c r="F2" s="161"/>
      <c r="G2" s="161"/>
      <c r="H2" s="161"/>
    </row>
    <row r="3" spans="1:8" ht="15.75" thickBot="1" x14ac:dyDescent="0.25">
      <c r="H3" s="12"/>
    </row>
    <row r="4" spans="1:8" s="16" customFormat="1" ht="130.5" customHeight="1" thickTop="1" thickBot="1" x14ac:dyDescent="0.25">
      <c r="A4" s="13" t="s">
        <v>5</v>
      </c>
      <c r="B4" s="96" t="str">
        <f>'Evaluator 1'!B4</f>
        <v>Criterion 1 &amp; 3</v>
      </c>
      <c r="C4" s="96" t="str">
        <f>'Evaluator 1'!C4</f>
        <v xml:space="preserve">Criterion 2 </v>
      </c>
      <c r="D4" s="98" t="str">
        <f>'Evaluator 1'!D4</f>
        <v>Criterion 4</v>
      </c>
      <c r="E4" s="14" t="str">
        <f>'Evaluator 1'!E4</f>
        <v>Criterion 6</v>
      </c>
      <c r="F4" s="98" t="str">
        <f>'Evaluator 1'!F4</f>
        <v>Criterion 7</v>
      </c>
      <c r="G4" s="15" t="s">
        <v>17</v>
      </c>
      <c r="H4" s="15" t="s">
        <v>6</v>
      </c>
    </row>
    <row r="5" spans="1:8" s="16" customFormat="1" ht="16.5" thickTop="1" x14ac:dyDescent="0.2">
      <c r="A5" s="17" t="str">
        <f>'RFP Responses'!A4</f>
        <v>Austin Commercial</v>
      </c>
      <c r="B5" s="99">
        <v>18</v>
      </c>
      <c r="C5" s="99">
        <v>20</v>
      </c>
      <c r="D5" s="127">
        <v>22.550663338244632</v>
      </c>
      <c r="E5" s="43">
        <v>4</v>
      </c>
      <c r="F5" s="56">
        <v>0</v>
      </c>
      <c r="G5" s="90">
        <f>B5+C5+E5</f>
        <v>42</v>
      </c>
      <c r="H5" s="31">
        <f>SUM(B5:F5)</f>
        <v>64.550663338244632</v>
      </c>
    </row>
    <row r="6" spans="1:8" x14ac:dyDescent="0.2">
      <c r="A6" s="17" t="str">
        <f>'RFP Responses'!A5</f>
        <v>J.T. Vaughn Construction</v>
      </c>
      <c r="B6" s="99">
        <v>30</v>
      </c>
      <c r="C6" s="99">
        <v>25</v>
      </c>
      <c r="D6" s="127">
        <v>28.38819427763379</v>
      </c>
      <c r="E6" s="42">
        <v>5</v>
      </c>
      <c r="F6" s="56">
        <v>0</v>
      </c>
      <c r="G6" s="90">
        <f t="shared" ref="G6:G7" si="0">B6+C6+E6</f>
        <v>60</v>
      </c>
      <c r="H6" s="31">
        <f t="shared" ref="H6:H7" si="1">SUM(B6:F6)</f>
        <v>88.388194277633787</v>
      </c>
    </row>
    <row r="7" spans="1:8" x14ac:dyDescent="0.2">
      <c r="A7" s="17" t="str">
        <f>'RFP Responses'!A6</f>
        <v>Tellepsen</v>
      </c>
      <c r="B7" s="99">
        <v>12</v>
      </c>
      <c r="C7" s="99">
        <v>15</v>
      </c>
      <c r="D7" s="127">
        <v>30</v>
      </c>
      <c r="E7" s="42">
        <v>4</v>
      </c>
      <c r="F7" s="56">
        <v>0</v>
      </c>
      <c r="G7" s="90">
        <f t="shared" si="0"/>
        <v>31</v>
      </c>
      <c r="H7" s="31">
        <f t="shared" si="1"/>
        <v>61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J19" sqref="J19"/>
    </sheetView>
  </sheetViews>
  <sheetFormatPr defaultRowHeight="15" x14ac:dyDescent="0.2"/>
  <cols>
    <col min="1" max="1" width="41.7109375" style="11" customWidth="1"/>
    <col min="2" max="3" width="9.140625" style="95"/>
    <col min="4" max="4" width="9.140625" style="53"/>
    <col min="5" max="5" width="9.140625" style="11"/>
    <col min="6" max="6" width="9.140625" style="53"/>
    <col min="7" max="7" width="12.28515625" style="11" customWidth="1"/>
    <col min="8" max="8" width="12.140625" style="1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8" ht="15.75" x14ac:dyDescent="0.25">
      <c r="A1" s="158" t="s">
        <v>0</v>
      </c>
      <c r="B1" s="159"/>
      <c r="C1" s="159"/>
      <c r="D1" s="159"/>
      <c r="E1" s="159"/>
      <c r="F1" s="159"/>
      <c r="G1" s="159"/>
      <c r="H1" s="159"/>
    </row>
    <row r="2" spans="1:8" ht="45.75" customHeight="1" x14ac:dyDescent="0.2">
      <c r="A2" s="160" t="str">
        <f>'RFP Responses'!A1</f>
        <v>Evaluation Summary RFQ730-19048.RFP730-19073 (Shortlist) CMAR New UH COM</v>
      </c>
      <c r="B2" s="161"/>
      <c r="C2" s="161"/>
      <c r="D2" s="161"/>
      <c r="E2" s="161"/>
      <c r="F2" s="161"/>
      <c r="G2" s="161"/>
      <c r="H2" s="161"/>
    </row>
    <row r="3" spans="1:8" ht="15.75" thickBot="1" x14ac:dyDescent="0.25">
      <c r="H3" s="12"/>
    </row>
    <row r="4" spans="1:8" s="16" customFormat="1" ht="130.5" customHeight="1" thickTop="1" thickBot="1" x14ac:dyDescent="0.25">
      <c r="A4" s="13" t="s">
        <v>5</v>
      </c>
      <c r="B4" s="96" t="str">
        <f>'Evaluator 1'!B4</f>
        <v>Criterion 1 &amp; 3</v>
      </c>
      <c r="C4" s="96" t="str">
        <f>'Evaluator 1'!C4</f>
        <v xml:space="preserve">Criterion 2 </v>
      </c>
      <c r="D4" s="98" t="str">
        <f>'Evaluator 1'!D4</f>
        <v>Criterion 4</v>
      </c>
      <c r="E4" s="14" t="str">
        <f>'Evaluator 1'!E4</f>
        <v>Criterion 6</v>
      </c>
      <c r="F4" s="98" t="str">
        <f>'Evaluator 1'!F4</f>
        <v>Criterion 7</v>
      </c>
      <c r="G4" s="15" t="s">
        <v>17</v>
      </c>
      <c r="H4" s="15" t="s">
        <v>6</v>
      </c>
    </row>
    <row r="5" spans="1:8" s="16" customFormat="1" ht="16.5" thickTop="1" x14ac:dyDescent="0.2">
      <c r="A5" s="17" t="str">
        <f>'RFP Responses'!A4</f>
        <v>Austin Commercial</v>
      </c>
      <c r="B5" s="99">
        <v>25.799999999999997</v>
      </c>
      <c r="C5" s="99">
        <v>17.5</v>
      </c>
      <c r="D5" s="127">
        <v>22.550663338244632</v>
      </c>
      <c r="E5" s="45">
        <v>4.5</v>
      </c>
      <c r="F5" s="54">
        <v>0</v>
      </c>
      <c r="G5" s="91">
        <f>B5+C5+E5</f>
        <v>47.8</v>
      </c>
      <c r="H5" s="31">
        <f>SUM(B5:F5)</f>
        <v>70.35066333824463</v>
      </c>
    </row>
    <row r="6" spans="1:8" x14ac:dyDescent="0.2">
      <c r="A6" s="17" t="str">
        <f>'RFP Responses'!A5</f>
        <v>J.T. Vaughn Construction</v>
      </c>
      <c r="B6" s="99">
        <v>30</v>
      </c>
      <c r="C6" s="99">
        <v>25</v>
      </c>
      <c r="D6" s="127">
        <v>28.38819427763379</v>
      </c>
      <c r="E6" s="44">
        <v>4.5</v>
      </c>
      <c r="F6" s="54">
        <v>0</v>
      </c>
      <c r="G6" s="91">
        <f t="shared" ref="G6:G7" si="0">B6+C6+E6</f>
        <v>59.5</v>
      </c>
      <c r="H6" s="31">
        <f>SUM(B6:F6)</f>
        <v>87.888194277633787</v>
      </c>
    </row>
    <row r="7" spans="1:8" x14ac:dyDescent="0.2">
      <c r="A7" s="17" t="str">
        <f>'RFP Responses'!A6</f>
        <v>Tellepsen</v>
      </c>
      <c r="B7" s="99">
        <v>21</v>
      </c>
      <c r="C7" s="99">
        <v>17.5</v>
      </c>
      <c r="D7" s="127">
        <v>30</v>
      </c>
      <c r="E7" s="44">
        <v>4</v>
      </c>
      <c r="F7" s="54">
        <v>0</v>
      </c>
      <c r="G7" s="91">
        <f t="shared" si="0"/>
        <v>42.5</v>
      </c>
      <c r="H7" s="31">
        <f>SUM(B7:F7)</f>
        <v>72.5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"/>
  <sheetViews>
    <sheetView workbookViewId="0">
      <selection activeCell="E18" sqref="E18"/>
    </sheetView>
  </sheetViews>
  <sheetFormatPr defaultRowHeight="15" x14ac:dyDescent="0.2"/>
  <cols>
    <col min="1" max="1" width="41.7109375" style="11" customWidth="1"/>
    <col min="2" max="5" width="9.140625" style="11"/>
    <col min="6" max="6" width="9.140625" style="108"/>
    <col min="7" max="7" width="17.5703125" style="11" bestFit="1" customWidth="1"/>
    <col min="8" max="16384" width="9.140625" style="11"/>
  </cols>
  <sheetData>
    <row r="1" spans="1:8" ht="15.75" x14ac:dyDescent="0.25">
      <c r="A1" s="158" t="s">
        <v>0</v>
      </c>
      <c r="B1" s="159"/>
      <c r="C1" s="159"/>
      <c r="D1" s="159"/>
      <c r="E1" s="159"/>
      <c r="F1" s="159"/>
      <c r="G1" s="159"/>
    </row>
    <row r="2" spans="1:8" ht="45.75" customHeight="1" x14ac:dyDescent="0.2">
      <c r="A2" s="160" t="str">
        <f>'RFP Responses'!A1</f>
        <v>Evaluation Summary RFQ730-19048.RFP730-19073 (Shortlist) CMAR New UH COM</v>
      </c>
      <c r="B2" s="161"/>
      <c r="C2" s="161"/>
      <c r="D2" s="161"/>
      <c r="E2" s="161"/>
      <c r="F2" s="161"/>
      <c r="G2" s="161"/>
    </row>
    <row r="3" spans="1:8" ht="15.75" thickBot="1" x14ac:dyDescent="0.25">
      <c r="G3" s="12"/>
    </row>
    <row r="4" spans="1:8" s="16" customFormat="1" ht="130.5" customHeight="1" thickTop="1" thickBot="1" x14ac:dyDescent="0.25">
      <c r="A4" s="13" t="s">
        <v>5</v>
      </c>
      <c r="B4" s="14" t="str">
        <f>'Evaluator 1'!B4</f>
        <v>Criterion 1 &amp; 3</v>
      </c>
      <c r="C4" s="14" t="str">
        <f>'Evaluator 1'!C4</f>
        <v xml:space="preserve">Criterion 2 </v>
      </c>
      <c r="D4" s="14" t="str">
        <f>'Evaluator 1'!D4</f>
        <v>Criterion 4</v>
      </c>
      <c r="E4" s="14" t="str">
        <f>'Evaluator 1'!E4</f>
        <v>Criterion 6</v>
      </c>
      <c r="F4" s="109" t="str">
        <f>'Evaluator 1'!F4</f>
        <v>Criterion 7</v>
      </c>
      <c r="G4" s="15" t="s">
        <v>6</v>
      </c>
    </row>
    <row r="5" spans="1:8" s="16" customFormat="1" ht="16.5" thickTop="1" x14ac:dyDescent="0.2">
      <c r="A5" s="17" t="str">
        <f>'RFP Responses'!A4</f>
        <v>Austin Commercial</v>
      </c>
      <c r="B5" s="39">
        <v>0</v>
      </c>
      <c r="C5" s="39">
        <v>0</v>
      </c>
      <c r="D5" s="39">
        <v>0</v>
      </c>
      <c r="E5" s="43">
        <v>0</v>
      </c>
      <c r="F5" s="110">
        <v>8</v>
      </c>
      <c r="G5" s="31">
        <f>SUM(B5:F5)</f>
        <v>8</v>
      </c>
      <c r="H5" s="16">
        <v>1</v>
      </c>
    </row>
    <row r="6" spans="1:8" ht="15.75" x14ac:dyDescent="0.2">
      <c r="A6" s="17" t="str">
        <f>'RFP Responses'!A5</f>
        <v>J.T. Vaughn Construction</v>
      </c>
      <c r="B6" s="49">
        <v>0</v>
      </c>
      <c r="C6" s="49">
        <v>0</v>
      </c>
      <c r="D6" s="49">
        <v>0</v>
      </c>
      <c r="E6" s="50">
        <v>0</v>
      </c>
      <c r="F6" s="110">
        <v>10</v>
      </c>
      <c r="G6" s="51">
        <f>SUM(B6:F6)</f>
        <v>10</v>
      </c>
      <c r="H6" s="52">
        <v>2</v>
      </c>
    </row>
    <row r="7" spans="1:8" ht="15.75" x14ac:dyDescent="0.2">
      <c r="A7" s="17" t="str">
        <f>'RFP Responses'!A6</f>
        <v>Tellepsen</v>
      </c>
      <c r="B7" s="39">
        <v>0</v>
      </c>
      <c r="C7" s="39">
        <v>0</v>
      </c>
      <c r="D7" s="39">
        <v>0</v>
      </c>
      <c r="E7" s="42">
        <v>0</v>
      </c>
      <c r="F7" s="110">
        <v>8</v>
      </c>
      <c r="G7" s="31">
        <f>SUM(B7:F7)</f>
        <v>8</v>
      </c>
      <c r="H7" s="16">
        <v>3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7"/>
  <sheetViews>
    <sheetView zoomScaleNormal="100" workbookViewId="0">
      <selection activeCell="F13" sqref="F13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62" t="s">
        <v>4</v>
      </c>
      <c r="B1" s="163"/>
      <c r="C1" s="163"/>
      <c r="D1" s="163"/>
      <c r="E1" s="163"/>
      <c r="F1" s="163"/>
      <c r="G1" s="163"/>
      <c r="H1" s="163"/>
    </row>
    <row r="2" spans="1:8" ht="34.5" customHeight="1" x14ac:dyDescent="0.2">
      <c r="A2" s="164" t="str">
        <f>'RFP Responses'!A1</f>
        <v>Evaluation Summary RFQ730-19048.RFP730-19073 (Shortlist) CMAR New UH COM</v>
      </c>
      <c r="B2" s="165"/>
      <c r="C2" s="165"/>
      <c r="D2" s="165"/>
      <c r="E2" s="165"/>
      <c r="F2" s="165"/>
      <c r="G2" s="165"/>
      <c r="H2" s="165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0" t="s">
        <v>71</v>
      </c>
      <c r="C4" s="10" t="s">
        <v>72</v>
      </c>
      <c r="D4" s="10" t="s">
        <v>73</v>
      </c>
      <c r="E4" s="10" t="s">
        <v>74</v>
      </c>
      <c r="F4" s="10" t="s">
        <v>75</v>
      </c>
      <c r="G4" s="5" t="s">
        <v>3</v>
      </c>
      <c r="H4" s="9" t="s">
        <v>1</v>
      </c>
    </row>
    <row r="5" spans="1:8" x14ac:dyDescent="0.2">
      <c r="A5" s="17" t="str">
        <f>'RFP Responses'!A4</f>
        <v>Austin Commercial</v>
      </c>
      <c r="B5" s="8">
        <f>'Evaluator 1'!G5</f>
        <v>50.5</v>
      </c>
      <c r="C5" s="8">
        <f>'Evaluator 2'!G5</f>
        <v>48</v>
      </c>
      <c r="D5" s="8">
        <f>'Evaluator 3'!G5</f>
        <v>51.5</v>
      </c>
      <c r="E5" s="8">
        <f>'Eavluator 4'!G5</f>
        <v>42</v>
      </c>
      <c r="F5" s="8">
        <f>'Evaluator 5'!G5</f>
        <v>47.8</v>
      </c>
      <c r="G5" s="7">
        <f>AVERAGE(B5:F5)</f>
        <v>47.96</v>
      </c>
      <c r="H5" s="36">
        <f>RANK(G5,$G$5:$G$7,0)</f>
        <v>2</v>
      </c>
    </row>
    <row r="6" spans="1:8" s="59" customFormat="1" x14ac:dyDescent="0.2">
      <c r="A6" s="92" t="str">
        <f>'RFP Responses'!A5</f>
        <v>J.T. Vaughn Construction</v>
      </c>
      <c r="B6" s="93">
        <f>'Evaluator 1'!G6</f>
        <v>48.5</v>
      </c>
      <c r="C6" s="93">
        <f>'Evaluator 2'!G6</f>
        <v>54</v>
      </c>
      <c r="D6" s="93">
        <f>'Evaluator 3'!G6</f>
        <v>60</v>
      </c>
      <c r="E6" s="93">
        <f>'Eavluator 4'!G6</f>
        <v>60</v>
      </c>
      <c r="F6" s="93">
        <f>'Evaluator 5'!G6</f>
        <v>59.5</v>
      </c>
      <c r="G6" s="71">
        <f>AVERAGE(B6:F6)</f>
        <v>56.4</v>
      </c>
      <c r="H6" s="58">
        <f>RANK(G6,$G$5:$G$7,0)</f>
        <v>1</v>
      </c>
    </row>
    <row r="7" spans="1:8" s="34" customFormat="1" x14ac:dyDescent="0.2">
      <c r="A7" s="17" t="str">
        <f>'RFP Responses'!A6</f>
        <v>Tellepsen</v>
      </c>
      <c r="B7" s="48">
        <f>'Evaluator 1'!G7</f>
        <v>48.5</v>
      </c>
      <c r="C7" s="48">
        <f>'Evaluator 2'!G7</f>
        <v>42.5</v>
      </c>
      <c r="D7" s="48">
        <f>'Evaluator 3'!G7</f>
        <v>49</v>
      </c>
      <c r="E7" s="48">
        <f>'Eavluator 4'!G7</f>
        <v>31</v>
      </c>
      <c r="F7" s="48">
        <f>'Evaluator 5'!G7</f>
        <v>42.5</v>
      </c>
      <c r="G7" s="35">
        <f>AVERAGE(B7:F7)</f>
        <v>42.7</v>
      </c>
      <c r="H7" s="36">
        <f>RANK(G7,$G$5:$G$7,0)</f>
        <v>3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workbookViewId="0">
      <selection activeCell="B13" sqref="B13:B15"/>
    </sheetView>
  </sheetViews>
  <sheetFormatPr defaultRowHeight="12.75" x14ac:dyDescent="0.2"/>
  <cols>
    <col min="1" max="1" width="33.5703125" customWidth="1"/>
    <col min="2" max="2" width="19.7109375" customWidth="1"/>
    <col min="3" max="3" width="20.85546875" customWidth="1"/>
    <col min="4" max="4" width="20.28515625" customWidth="1"/>
    <col min="5" max="6" width="22.85546875" customWidth="1"/>
    <col min="7" max="7" width="18.140625" customWidth="1"/>
    <col min="8" max="8" width="20.28515625" customWidth="1"/>
    <col min="10" max="10" width="27.85546875" customWidth="1"/>
    <col min="11" max="11" width="14" bestFit="1" customWidth="1"/>
    <col min="12" max="12" width="15" bestFit="1" customWidth="1"/>
    <col min="13" max="13" width="18.42578125" bestFit="1" customWidth="1"/>
    <col min="14" max="14" width="24.5703125" customWidth="1"/>
    <col min="15" max="15" width="19.28515625" customWidth="1"/>
  </cols>
  <sheetData>
    <row r="1" spans="1:13" ht="34.5" customHeight="1" thickBot="1" x14ac:dyDescent="0.25">
      <c r="A1" s="166"/>
      <c r="B1" s="72"/>
      <c r="C1" s="104" t="s">
        <v>7</v>
      </c>
      <c r="D1" s="168" t="s">
        <v>8</v>
      </c>
      <c r="E1" s="169"/>
      <c r="F1" s="116"/>
      <c r="G1" s="105"/>
      <c r="H1" s="94" t="s">
        <v>9</v>
      </c>
    </row>
    <row r="2" spans="1:13" ht="39" customHeight="1" thickBot="1" x14ac:dyDescent="0.25">
      <c r="A2" s="167"/>
      <c r="B2" s="73" t="s">
        <v>53</v>
      </c>
      <c r="C2" s="74" t="s">
        <v>10</v>
      </c>
      <c r="D2" s="75" t="s">
        <v>11</v>
      </c>
      <c r="E2" s="76" t="s">
        <v>50</v>
      </c>
      <c r="F2" s="117" t="s">
        <v>51</v>
      </c>
      <c r="G2" s="103" t="s">
        <v>45</v>
      </c>
      <c r="H2" s="77" t="s">
        <v>48</v>
      </c>
      <c r="J2" s="130" t="s">
        <v>52</v>
      </c>
    </row>
    <row r="3" spans="1:13" ht="15" x14ac:dyDescent="0.2">
      <c r="A3" s="78" t="str">
        <f>'RFP Responses'!A4</f>
        <v>Austin Commercial</v>
      </c>
      <c r="B3" s="102">
        <f>J3*D3</f>
        <v>2174917.8238021643</v>
      </c>
      <c r="C3" s="79">
        <v>75000</v>
      </c>
      <c r="D3" s="80">
        <v>3.5200000000000002E-2</v>
      </c>
      <c r="E3" s="79">
        <v>112836</v>
      </c>
      <c r="F3" s="79">
        <f>E3*F7</f>
        <v>2708064</v>
      </c>
      <c r="G3" s="81">
        <v>1254580</v>
      </c>
      <c r="H3" s="82">
        <f>B3+C3+F3+G3</f>
        <v>6212561.8238021638</v>
      </c>
      <c r="J3" s="132">
        <f>(C7-(F3+G3)-C3)/(D3+1)</f>
        <v>61787438.176197842</v>
      </c>
      <c r="K3" s="129"/>
      <c r="L3" s="129"/>
      <c r="M3" s="129"/>
    </row>
    <row r="4" spans="1:13" ht="15" x14ac:dyDescent="0.2">
      <c r="A4" s="78" t="str">
        <f>'RFP Responses'!A5</f>
        <v>J.T. Vaughn Construction</v>
      </c>
      <c r="B4" s="102">
        <f>J4*D4</f>
        <v>2133698.5744680851</v>
      </c>
      <c r="C4" s="83">
        <v>170000</v>
      </c>
      <c r="D4" s="84">
        <v>3.4000000000000002E-2</v>
      </c>
      <c r="E4" s="83">
        <v>77821</v>
      </c>
      <c r="F4" s="79">
        <f>E4*F7</f>
        <v>1867704</v>
      </c>
      <c r="G4" s="85">
        <v>1072757</v>
      </c>
      <c r="H4" s="82">
        <f t="shared" ref="H4:H5" si="0">B4+C4+F4+G4</f>
        <v>5244159.5744680855</v>
      </c>
      <c r="J4" s="131">
        <f>(C7-(F4+G4)-C4)/(D4+1)</f>
        <v>62755840.425531916</v>
      </c>
      <c r="K4" s="129"/>
      <c r="L4" s="129"/>
      <c r="M4" s="129"/>
    </row>
    <row r="5" spans="1:13" ht="15" x14ac:dyDescent="0.2">
      <c r="A5" s="78" t="s">
        <v>40</v>
      </c>
      <c r="B5" s="102">
        <f>J5*D5</f>
        <v>1859185.1908693537</v>
      </c>
      <c r="C5" s="83">
        <v>67500</v>
      </c>
      <c r="D5" s="84">
        <v>2.9499999999999998E-2</v>
      </c>
      <c r="E5" s="83">
        <v>71922</v>
      </c>
      <c r="F5" s="79">
        <f>E5*F7</f>
        <v>1726128</v>
      </c>
      <c r="G5" s="85">
        <v>1323960</v>
      </c>
      <c r="H5" s="82">
        <f t="shared" si="0"/>
        <v>4976773.1908693537</v>
      </c>
      <c r="J5" s="131">
        <f>(C7-(F5+G5)-C5)/(D5+1)</f>
        <v>63023226.809130639</v>
      </c>
      <c r="K5" s="129"/>
      <c r="L5" s="129"/>
      <c r="M5" s="129"/>
    </row>
    <row r="6" spans="1:13" ht="13.5" thickBot="1" x14ac:dyDescent="0.25">
      <c r="A6" s="19"/>
      <c r="B6" s="19"/>
      <c r="C6" s="20"/>
      <c r="D6" s="20"/>
      <c r="E6" s="20"/>
      <c r="F6" s="20"/>
      <c r="G6" s="20"/>
      <c r="H6" s="20"/>
    </row>
    <row r="7" spans="1:13" ht="15.75" thickBot="1" x14ac:dyDescent="0.25">
      <c r="A7" s="19"/>
      <c r="B7" s="101" t="s">
        <v>44</v>
      </c>
      <c r="C7" s="100">
        <v>68000000</v>
      </c>
      <c r="E7" s="126" t="s">
        <v>49</v>
      </c>
      <c r="F7">
        <v>24</v>
      </c>
      <c r="G7" s="126" t="s">
        <v>38</v>
      </c>
      <c r="H7" s="86">
        <f>MIN(H3:H5)</f>
        <v>4976773.1908693537</v>
      </c>
    </row>
    <row r="8" spans="1:13" x14ac:dyDescent="0.2">
      <c r="B8" s="128"/>
    </row>
    <row r="9" spans="1:13" x14ac:dyDescent="0.2">
      <c r="A9" s="19"/>
      <c r="B9" s="47"/>
      <c r="C9" s="47"/>
      <c r="D9" s="19"/>
      <c r="E9" s="19"/>
      <c r="F9" s="19"/>
      <c r="G9" s="19"/>
    </row>
    <row r="10" spans="1:13" ht="15.75" thickBot="1" x14ac:dyDescent="0.3">
      <c r="A10" s="107" t="s">
        <v>46</v>
      </c>
      <c r="B10" s="107" t="s">
        <v>47</v>
      </c>
      <c r="C10" s="107"/>
      <c r="D10" s="107"/>
      <c r="E10" s="107"/>
      <c r="F10" s="107"/>
      <c r="G10" s="107"/>
      <c r="H10" s="107"/>
    </row>
    <row r="11" spans="1:13" ht="21" thickBot="1" x14ac:dyDescent="0.25">
      <c r="A11" s="170" t="s">
        <v>12</v>
      </c>
      <c r="B11" s="171"/>
      <c r="C11" s="171"/>
      <c r="D11" s="171"/>
      <c r="E11" s="172"/>
      <c r="F11" s="118"/>
      <c r="G11" s="19"/>
      <c r="H11" s="121"/>
      <c r="I11" s="121"/>
      <c r="J11" s="121"/>
      <c r="K11" s="122"/>
      <c r="M11" s="121"/>
    </row>
    <row r="12" spans="1:13" ht="13.5" thickBot="1" x14ac:dyDescent="0.25">
      <c r="A12" s="21"/>
      <c r="B12" s="87" t="s">
        <v>13</v>
      </c>
      <c r="C12" s="22" t="s">
        <v>14</v>
      </c>
      <c r="D12" s="23" t="s">
        <v>15</v>
      </c>
      <c r="E12" s="23" t="s">
        <v>16</v>
      </c>
      <c r="F12" s="119"/>
      <c r="G12" s="24"/>
      <c r="H12" s="123"/>
      <c r="I12" s="122"/>
      <c r="J12" s="122"/>
      <c r="K12" s="122"/>
      <c r="L12" s="123"/>
      <c r="M12" s="122"/>
    </row>
    <row r="13" spans="1:13" ht="15" x14ac:dyDescent="0.2">
      <c r="A13" s="33" t="str">
        <f>A3</f>
        <v>Austin Commercial</v>
      </c>
      <c r="B13" s="88">
        <f>((1-(H3-H7)/H7)*30)</f>
        <v>22.550663338244632</v>
      </c>
      <c r="C13" s="25">
        <f>RANK(B13,$B$13:$B$15,0)</f>
        <v>3</v>
      </c>
      <c r="D13" s="26">
        <f>$H$7-H3</f>
        <v>-1235788.6329328101</v>
      </c>
      <c r="E13" s="27">
        <f>(-D13/$H$7)</f>
        <v>0.24831122205851214</v>
      </c>
      <c r="F13" s="120"/>
      <c r="G13" s="28"/>
      <c r="H13" s="122"/>
      <c r="I13" s="121"/>
      <c r="J13" s="121"/>
      <c r="K13" s="121"/>
      <c r="L13" s="123"/>
      <c r="M13" s="121"/>
    </row>
    <row r="14" spans="1:13" ht="15" x14ac:dyDescent="0.2">
      <c r="A14" s="33" t="str">
        <f t="shared" ref="A14:A15" si="1">A4</f>
        <v>J.T. Vaughn Construction</v>
      </c>
      <c r="B14" s="89">
        <f>((1-(H4-H7)/H7)*30)</f>
        <v>28.38819427763379</v>
      </c>
      <c r="C14" s="25">
        <f>RANK(B14,$B$13:$B$15,0)</f>
        <v>2</v>
      </c>
      <c r="D14" s="26">
        <f>$H$7-H4</f>
        <v>-267386.38359873183</v>
      </c>
      <c r="E14" s="27">
        <f>(-D14/$H$7)</f>
        <v>5.3726857412206924E-2</v>
      </c>
      <c r="F14" s="120"/>
      <c r="G14" s="28"/>
      <c r="H14" s="122"/>
      <c r="I14" s="121"/>
      <c r="J14" s="121"/>
      <c r="K14" s="121"/>
      <c r="L14" s="123"/>
      <c r="M14" s="121"/>
    </row>
    <row r="15" spans="1:13" ht="15" x14ac:dyDescent="0.2">
      <c r="A15" s="33" t="str">
        <f t="shared" si="1"/>
        <v>Tellepsen</v>
      </c>
      <c r="B15" s="89">
        <f>((1-(H5-H7)/H7)*30)</f>
        <v>30</v>
      </c>
      <c r="C15" s="25">
        <f>RANK(B15,$B$13:$B$15,0)</f>
        <v>1</v>
      </c>
      <c r="D15" s="26">
        <f>$H$7-H5</f>
        <v>0</v>
      </c>
      <c r="E15" s="27">
        <f>(-D15/$H$7)</f>
        <v>0</v>
      </c>
      <c r="F15" s="120"/>
      <c r="G15" s="29" t="s">
        <v>9</v>
      </c>
      <c r="H15" s="122"/>
      <c r="I15" s="121"/>
      <c r="J15" s="121"/>
      <c r="K15" s="121"/>
      <c r="L15" s="123"/>
      <c r="M15" s="121"/>
    </row>
    <row r="16" spans="1:13" x14ac:dyDescent="0.2">
      <c r="H16" s="121"/>
      <c r="I16" s="121"/>
      <c r="J16" s="121"/>
      <c r="K16" s="121"/>
      <c r="L16" s="121"/>
      <c r="M16" s="121"/>
    </row>
    <row r="17" spans="6:13" ht="13.5" thickBot="1" x14ac:dyDescent="0.25">
      <c r="H17" s="121"/>
      <c r="I17" s="121"/>
      <c r="J17" s="121"/>
      <c r="K17" s="121"/>
      <c r="L17" s="121"/>
      <c r="M17" s="121"/>
    </row>
    <row r="18" spans="6:13" ht="135.75" customHeight="1" thickBot="1" x14ac:dyDescent="0.25">
      <c r="F18" s="106" t="s">
        <v>54</v>
      </c>
      <c r="H18" s="124"/>
      <c r="I18" s="121"/>
      <c r="J18" s="125"/>
      <c r="K18" s="125"/>
      <c r="L18" s="125"/>
      <c r="M18" s="125"/>
    </row>
  </sheetData>
  <mergeCells count="3">
    <mergeCell ref="A1:A2"/>
    <mergeCell ref="D1:E1"/>
    <mergeCell ref="A11:E1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RFP Responses</vt:lpstr>
      <vt:lpstr>Evaluator 1</vt:lpstr>
      <vt:lpstr>Evaluator 2</vt:lpstr>
      <vt:lpstr>Evaluator 3</vt:lpstr>
      <vt:lpstr>Eavluator 4</vt:lpstr>
      <vt:lpstr>Evaluator 5</vt:lpstr>
      <vt:lpstr>HUB Department</vt:lpstr>
      <vt:lpstr>Technical Score</vt:lpstr>
      <vt:lpstr>Cost Summary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2019-03-11T14:49:07Z</dcterms:modified>
</cp:coreProperties>
</file>