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134 CMAR TDECU Suites and Premium Seating - JAMIL\Evaluations\"/>
    </mc:Choice>
  </mc:AlternateContent>
  <xr:revisionPtr revIDLastSave="0" documentId="8_{53E1D072-8C72-440D-8865-63B26744EB2D}" xr6:coauthVersionLast="47" xr6:coauthVersionMax="47" xr10:uidLastSave="{00000000-0000-0000-0000-000000000000}"/>
  <bookViews>
    <workbookView xWindow="28680" yWindow="-120" windowWidth="29040" windowHeight="15840" tabRatio="722" activeTab="6" xr2:uid="{00000000-000D-0000-FFFF-FFFF00000000}"/>
  </bookViews>
  <sheets>
    <sheet name="1" sheetId="2" r:id="rId1"/>
    <sheet name="2" sheetId="3" r:id="rId2"/>
    <sheet name="3" sheetId="5" r:id="rId3"/>
    <sheet name="4" sheetId="9" r:id="rId4"/>
    <sheet name="5" sheetId="15" r:id="rId5"/>
    <sheet name="Cost Summary" sheetId="14"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15" l="1"/>
  <c r="D5" i="15"/>
  <c r="D4" i="15"/>
  <c r="D6" i="9"/>
  <c r="D5" i="9"/>
  <c r="D4" i="9"/>
  <c r="D6" i="5"/>
  <c r="D5" i="5"/>
  <c r="D4" i="5"/>
  <c r="D6" i="3"/>
  <c r="D5" i="3"/>
  <c r="D4" i="3"/>
  <c r="D5" i="2"/>
  <c r="D6" i="2"/>
  <c r="D4" i="2"/>
  <c r="A14" i="14"/>
  <c r="A15" i="14"/>
  <c r="A13" i="14"/>
  <c r="C8" i="1" l="1"/>
  <c r="E8" i="1"/>
  <c r="B9" i="1"/>
  <c r="C9" i="1"/>
  <c r="D9" i="1"/>
  <c r="E7" i="1"/>
  <c r="C7" i="1"/>
  <c r="I6" i="15"/>
  <c r="F9" i="1" s="1"/>
  <c r="I5" i="15"/>
  <c r="F8" i="1" s="1"/>
  <c r="I4" i="15"/>
  <c r="F7" i="1" s="1"/>
  <c r="I6" i="9"/>
  <c r="E9" i="1" s="1"/>
  <c r="I5" i="9"/>
  <c r="I4" i="9"/>
  <c r="I6" i="5"/>
  <c r="I5" i="5"/>
  <c r="D8" i="1" s="1"/>
  <c r="I4" i="5"/>
  <c r="D7" i="1" s="1"/>
  <c r="I6" i="3"/>
  <c r="I5" i="3"/>
  <c r="I4" i="3"/>
  <c r="I5" i="2"/>
  <c r="B8" i="1" s="1"/>
  <c r="I6" i="2"/>
  <c r="I4" i="2"/>
  <c r="B7" i="1" s="1"/>
  <c r="K6" i="1" l="1"/>
  <c r="L6" i="1"/>
  <c r="M6" i="1"/>
  <c r="N6" i="1"/>
  <c r="J6" i="1"/>
  <c r="F5" i="14" l="1"/>
  <c r="J5" i="14" s="1"/>
  <c r="F4" i="14"/>
  <c r="J4" i="14" s="1"/>
  <c r="F3" i="14"/>
  <c r="J3" i="14" s="1"/>
  <c r="B4" i="14" l="1"/>
  <c r="H4" i="14" s="1"/>
  <c r="B5" i="14"/>
  <c r="H5" i="14" s="1"/>
  <c r="B3" i="14"/>
  <c r="H3" i="14" s="1"/>
  <c r="H7" i="14" s="1"/>
  <c r="B14" i="14" s="1"/>
  <c r="B15" i="14" l="1"/>
  <c r="D15" i="14"/>
  <c r="E15" i="14" s="1"/>
  <c r="D14" i="14"/>
  <c r="E14" i="14" s="1"/>
  <c r="D13" i="14"/>
  <c r="E13" i="14" s="1"/>
  <c r="B13" i="14"/>
  <c r="C13" i="14" l="1"/>
  <c r="M7" i="1"/>
  <c r="L7" i="1"/>
  <c r="C15" i="14"/>
  <c r="C14" i="14"/>
  <c r="N9" i="1" l="1"/>
  <c r="M9" i="1"/>
  <c r="M8" i="1"/>
  <c r="L9" i="1"/>
  <c r="K9" i="1"/>
  <c r="N7" i="1"/>
  <c r="K8" i="1"/>
  <c r="N8" i="1"/>
  <c r="L8" i="1"/>
  <c r="K7" i="1"/>
  <c r="J9" i="1" l="1"/>
  <c r="A8" i="1"/>
  <c r="A9" i="1"/>
  <c r="A7" i="1"/>
  <c r="G9" i="1" l="1"/>
  <c r="J8" i="1"/>
  <c r="O8" i="1" s="1"/>
  <c r="J7" i="1"/>
  <c r="O7" i="1" s="1"/>
  <c r="G7" i="1"/>
  <c r="G8" i="1"/>
  <c r="O9" i="1"/>
  <c r="P8" i="1" l="1"/>
  <c r="P9" i="1"/>
  <c r="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H2" authorId="0" shapeId="0" xr:uid="{00000000-0006-0000-0700-000001000000}">
      <text>
        <r>
          <rPr>
            <b/>
            <sz val="9"/>
            <color indexed="81"/>
            <rFont val="Tahoma"/>
            <family val="2"/>
          </rPr>
          <t xml:space="preserve">Fromula
Fee on CCL + Pre-Construction Phase Fee + Staff Amt 24 Months Term + Bonds and Insurance Amt
</t>
        </r>
      </text>
    </comment>
    <comment ref="J2" authorId="0" shapeId="0" xr:uid="{00000000-0006-0000-0700-000002000000}">
      <text>
        <r>
          <rPr>
            <b/>
            <sz val="9"/>
            <color indexed="81"/>
            <rFont val="Tahoma"/>
            <family val="2"/>
          </rPr>
          <t>COW Calculation</t>
        </r>
        <r>
          <rPr>
            <sz val="9"/>
            <color indexed="81"/>
            <rFont val="Tahoma"/>
            <family val="2"/>
          </rPr>
          <t xml:space="preserve">
COW = ((CCL)–(staff+bonds)–(Precon))/(fee%+1)</t>
        </r>
      </text>
    </comment>
    <comment ref="B12" authorId="0"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471E42FA-21EC-4772-942A-30E37B89964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FCAC78D6-34FA-47C2-8F80-09105204507F}">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<sst xmlns="http://schemas.openxmlformats.org/spreadsheetml/2006/main" count="118" uniqueCount="65">
  <si>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</si>
  <si>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</si>
  <si>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</si>
  <si>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</si>
  <si>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</si>
  <si>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</si>
  <si>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</si>
  <si>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</si>
  <si>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</si>
  <si>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</si>
  <si>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</si>
  <si>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</si>
  <si>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</si>
  <si>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</si>
  <si>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</si>
  <si>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</si>
  <si>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</si>
  <si>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</si>
  <si>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</si>
  <si>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</si>
  <si>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</si>
  <si>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</si>
  <si>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</si>
  <si>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</si>
  <si>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</si>
  <si>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</si>
  <si>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</si>
  <si>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</si>
  <si>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</si>
  <si>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</si>
  <si>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</si>
  <si>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</si>
  <si>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</si>
  <si>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</si>
  <si>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</si>
  <si>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</si>
  <si>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</si>
  <si>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</si>
  <si>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 xml:space="preserve">RFP730-22134 CMAR TDECU Suites and Premium Seating </t>
  </si>
  <si>
    <t>CMC</t>
  </si>
  <si>
    <t>Noble</t>
  </si>
  <si>
    <t>Whiting-Turner</t>
  </si>
  <si>
    <t>NOTE:  Purchasing is basing the monthly Staffing Amt given by facilities on 8 months stated in the RFP from January 2023-August 2023.</t>
  </si>
  <si>
    <t>Staff Amt 8 Months Term</t>
  </si>
  <si>
    <t>University of Houston Evaluation Matrix $1 Million+</t>
  </si>
  <si>
    <t>Name</t>
  </si>
  <si>
    <t>Evaluation Due Date</t>
  </si>
  <si>
    <t>8/12/2022 @ 5 PM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</si>
  <si>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</si>
  <si>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</si>
  <si>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</si>
  <si>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</si>
  <si>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</si>
  <si>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</si>
  <si>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</si>
  <si>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</si>
  <si>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</si>
  <si>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Cost and Delivery Proposal (Section 4.4)
**ONLY PURCHASING WILL EVALUATE COST**</t>
  </si>
  <si>
    <t>Respondent’s qualifications and experience in stadium and seating construction. (Section 4.5)</t>
  </si>
  <si>
    <t>Respondent’s experience working on projects with short schedules (Section 4.6)</t>
  </si>
  <si>
    <t>Respondent’s qualifications of proposed project team (Section 4.7)</t>
  </si>
  <si>
    <t>Respondent’s project planning and scheduling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</si>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</sst>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5">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0" fontId="5" fillId="0" borderId="0"/>
    <xf numFmtId="43" fontId="20" fillId="0" borderId="0" applyFont="0" applyFill="0" applyBorder="0" applyAlignment="0" applyProtection="0"/>
    <xf numFmtId="0" fontId="4" fillId="0" borderId="0"/>
    <xf numFmtId="44" fontId="4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58" fillId="0" borderId="0" applyNumberFormat="0" applyFill="0" applyBorder="0" applyAlignment="0" applyProtection="0"/>
  </cellStyleXfs>
  <cellXfs count="170">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9" fillId="26" borderId="0" xfId="0" applyFont="1" applyFill="1"/>
    <xf numFmtId="0" fontId="42"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3" fillId="26" borderId="0" xfId="0" applyFont="1" applyFill="1"/>
    <xf numFmtId="0" fontId="40" fillId="25" borderId="13" xfId="0" applyFont="1" applyFill="1" applyBorder="1" applyAlignment="1">
      <alignment horizontal="right"/>
    </xf>
    <xf numFmtId="2" fontId="20" fillId="0" borderId="0" xfId="98" applyNumberFormat="1" applyFont="1"/>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1" fillId="26" borderId="0" xfId="0" applyFont="1" applyFill="1" applyAlignment="1">
      <alignment horizontal="right"/>
    </xf>
    <xf numFmtId="0" fontId="19" fillId="26" borderId="11" xfId="0" applyFont="1" applyFill="1" applyBorder="1"/>
    <xf numFmtId="0" fontId="19" fillId="26" borderId="12" xfId="0" applyFont="1" applyFill="1" applyBorder="1"/>
    <xf numFmtId="0" fontId="18" fillId="26" borderId="14" xfId="0" applyFont="1" applyFill="1" applyBorder="1" applyAlignment="1">
      <alignment horizontal="right" textRotation="90" wrapText="1"/>
    </xf>
    <xf numFmtId="4" fontId="19" fillId="26" borderId="13" xfId="0" applyNumberFormat="1" applyFont="1" applyFill="1" applyBorder="1" applyAlignment="1">
      <alignment horizontal="right"/>
    </xf>
    <xf numFmtId="4" fontId="19" fillId="26" borderId="15" xfId="0" applyNumberFormat="1" applyFont="1" applyFill="1" applyBorder="1" applyAlignment="1">
      <alignment horizontal="right"/>
    </xf>
    <xf numFmtId="0" fontId="19" fillId="26" borderId="13" xfId="0" applyFont="1" applyFill="1" applyBorder="1" applyAlignment="1">
      <alignment horizontal="right"/>
    </xf>
    <xf numFmtId="0" fontId="19" fillId="26" borderId="15" xfId="0" applyFont="1" applyFill="1" applyBorder="1" applyAlignment="1">
      <alignment horizontal="right"/>
    </xf>
    <xf numFmtId="0" fontId="45" fillId="0" borderId="0" xfId="0" applyFont="1" applyBorder="1" applyAlignment="1">
      <alignment horizontal="center" vertical="center" wrapText="1"/>
    </xf>
    <xf numFmtId="0" fontId="51" fillId="27" borderId="18" xfId="0" applyFont="1" applyFill="1" applyBorder="1" applyAlignment="1">
      <alignment horizontal="center" vertical="center" wrapText="1"/>
    </xf>
    <xf numFmtId="0" fontId="51" fillId="28" borderId="20" xfId="0" applyFont="1" applyFill="1" applyBorder="1" applyAlignment="1">
      <alignment horizontal="center" vertical="center" wrapText="1"/>
    </xf>
    <xf numFmtId="0" fontId="0" fillId="28" borderId="21" xfId="0" applyFill="1" applyBorder="1"/>
    <xf numFmtId="0" fontId="52" fillId="0" borderId="16"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27" borderId="18" xfId="0" applyFont="1" applyFill="1" applyBorder="1" applyAlignment="1">
      <alignment horizontal="center" vertical="center" wrapText="1"/>
    </xf>
    <xf numFmtId="0" fontId="45" fillId="28" borderId="19" xfId="0" applyFont="1" applyFill="1" applyBorder="1" applyAlignment="1">
      <alignment horizontal="center" vertical="center" wrapText="1"/>
    </xf>
    <xf numFmtId="0" fontId="45" fillId="28" borderId="23" xfId="0" applyFont="1" applyFill="1" applyBorder="1" applyAlignment="1">
      <alignment horizontal="center" vertical="center" wrapText="1"/>
    </xf>
    <xf numFmtId="0" fontId="45" fillId="28" borderId="24" xfId="0" applyFont="1" applyFill="1" applyBorder="1" applyAlignment="1">
      <alignment horizontal="center" vertical="center" wrapText="1"/>
    </xf>
    <xf numFmtId="0" fontId="50" fillId="28" borderId="25" xfId="0" applyFont="1" applyFill="1" applyBorder="1" applyAlignment="1">
      <alignment vertical="center" wrapText="1"/>
    </xf>
    <xf numFmtId="0" fontId="53" fillId="0" borderId="26" xfId="0" applyFont="1" applyFill="1" applyBorder="1" applyAlignment="1">
      <alignment horizontal="center" vertical="center" wrapText="1"/>
    </xf>
    <xf numFmtId="0" fontId="50" fillId="29" borderId="26" xfId="0" applyFont="1" applyFill="1" applyBorder="1" applyAlignment="1">
      <alignment horizontal="center" vertical="center" wrapText="1"/>
    </xf>
    <xf numFmtId="44" fontId="20"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2" fillId="24" borderId="28" xfId="0" applyNumberFormat="1" applyFont="1" applyFill="1" applyBorder="1" applyAlignment="1">
      <alignment vertical="center"/>
    </xf>
    <xf numFmtId="164" fontId="46" fillId="0" borderId="28" xfId="0" applyNumberFormat="1" applyFont="1" applyFill="1" applyBorder="1" applyAlignment="1">
      <alignment vertical="center"/>
    </xf>
    <xf numFmtId="165" fontId="0" fillId="0" borderId="28" xfId="0" applyNumberFormat="1" applyFill="1" applyBorder="1"/>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2" fillId="24" borderId="27" xfId="0" applyNumberFormat="1" applyFont="1" applyFill="1" applyBorder="1" applyAlignment="1">
      <alignment vertical="center"/>
    </xf>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5" fillId="0" borderId="0" xfId="0" applyFont="1" applyFill="1" applyAlignment="1">
      <alignment horizontal="right" vertical="center"/>
    </xf>
    <xf numFmtId="164" fontId="45" fillId="0" borderId="0" xfId="0" applyNumberFormat="1" applyFont="1" applyFill="1" applyAlignment="1">
      <alignment horizontal="right" vertical="center"/>
    </xf>
    <xf numFmtId="164" fontId="54" fillId="0" borderId="18" xfId="0" applyNumberFormat="1" applyFont="1" applyFill="1" applyBorder="1" applyAlignment="1">
      <alignment vertical="center"/>
    </xf>
    <xf numFmtId="0" fontId="20" fillId="0" borderId="0" xfId="0" applyFont="1" applyAlignment="1">
      <alignment horizontal="right"/>
    </xf>
    <xf numFmtId="43" fontId="20" fillId="0" borderId="0" xfId="106" applyFont="1" applyFill="1" applyAlignment="1">
      <alignment vertical="center"/>
    </xf>
    <xf numFmtId="0" fontId="3" fillId="0" borderId="0" xfId="109"/>
    <xf numFmtId="0" fontId="55" fillId="0" borderId="0" xfId="0" applyFont="1" applyFill="1" applyBorder="1" applyAlignment="1">
      <alignment horizontal="center" vertical="center"/>
    </xf>
    <xf numFmtId="0" fontId="0" fillId="0" borderId="0" xfId="0" applyFill="1" applyBorder="1"/>
    <xf numFmtId="0" fontId="20" fillId="0" borderId="0" xfId="0" applyFont="1" applyFill="1" applyBorder="1"/>
    <xf numFmtId="0" fontId="20" fillId="0" borderId="18" xfId="0" applyFont="1" applyFill="1" applyBorder="1" applyAlignment="1">
      <alignment vertical="center"/>
    </xf>
    <xf numFmtId="0" fontId="47" fillId="0" borderId="18" xfId="0" applyFont="1" applyFill="1" applyBorder="1" applyAlignment="1">
      <alignment horizontal="center" vertical="center"/>
    </xf>
    <xf numFmtId="0" fontId="45" fillId="0" borderId="18"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5" fillId="0" borderId="0" xfId="0" applyFont="1" applyFill="1" applyBorder="1"/>
    <xf numFmtId="2" fontId="47" fillId="0" borderId="28" xfId="0" applyNumberFormat="1" applyFont="1" applyFill="1" applyBorder="1" applyAlignment="1">
      <alignment horizontal="center" vertical="center"/>
    </xf>
    <xf numFmtId="1" fontId="45"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50" fillId="0" borderId="30" xfId="0" applyNumberFormat="1" applyFont="1" applyFill="1" applyBorder="1" applyAlignment="1">
      <alignment horizontal="center" vertical="center"/>
    </xf>
    <xf numFmtId="10" fontId="5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47" fillId="0" borderId="27" xfId="0" applyNumberFormat="1" applyFont="1" applyFill="1" applyBorder="1" applyAlignment="1">
      <alignment horizontal="center" vertical="center"/>
    </xf>
    <xf numFmtId="2" fontId="20" fillId="0" borderId="0" xfId="0" applyNumberFormat="1" applyFont="1" applyFill="1" applyBorder="1" applyAlignment="1">
      <alignment horizontal="center" vertical="center"/>
    </xf>
    <xf numFmtId="0" fontId="50" fillId="24" borderId="18" xfId="109" applyFont="1" applyFill="1" applyBorder="1" applyAlignment="1">
      <alignment vertical="top" wrapText="1"/>
    </xf>
    <xf numFmtId="0" fontId="50" fillId="0" borderId="0" xfId="109" applyFont="1" applyFill="1" applyBorder="1" applyAlignment="1">
      <alignment vertical="top" wrapText="1"/>
    </xf>
    <xf numFmtId="0" fontId="3" fillId="0" borderId="0" xfId="109" applyFont="1" applyFill="1" applyBorder="1" applyAlignment="1">
      <alignment horizontal="left" vertical="top" wrapText="1"/>
    </xf>
    <xf numFmtId="0" fontId="0" fillId="24" borderId="0" xfId="0" applyFill="1"/>
    <xf numFmtId="2" fontId="19" fillId="26" borderId="11" xfId="0" applyNumberFormat="1" applyFont="1" applyFill="1" applyBorder="1"/>
    <xf numFmtId="164" fontId="45" fillId="24" borderId="0" xfId="0" applyNumberFormat="1" applyFont="1" applyFill="1" applyAlignment="1">
      <alignment vertical="center"/>
    </xf>
    <xf numFmtId="0" fontId="45" fillId="0" borderId="29" xfId="2" applyFont="1" applyFill="1" applyBorder="1" applyAlignment="1"/>
    <xf numFmtId="0" fontId="45" fillId="0" borderId="0" xfId="98" applyFont="1" applyAlignment="1"/>
    <xf numFmtId="0" fontId="20" fillId="0" borderId="0" xfId="98" applyFont="1"/>
    <xf numFmtId="0" fontId="45" fillId="0" borderId="10" xfId="111" applyFont="1" applyBorder="1" applyAlignment="1">
      <alignment horizontal="right"/>
    </xf>
    <xf numFmtId="0" fontId="47" fillId="0" borderId="10" xfId="111" applyFont="1" applyFill="1" applyBorder="1" applyAlignment="1">
      <alignment horizontal="right"/>
    </xf>
    <xf numFmtId="0" fontId="46" fillId="0" borderId="0" xfId="98" applyFont="1" applyFill="1" applyBorder="1"/>
    <xf numFmtId="0" fontId="20" fillId="0" borderId="0" xfId="98" applyFont="1"/>
    <xf numFmtId="0" fontId="20" fillId="0" borderId="0" xfId="98" applyFont="1"/>
    <xf numFmtId="0" fontId="20" fillId="0" borderId="0" xfId="98" applyFont="1"/>
    <xf numFmtId="0" fontId="19" fillId="24" borderId="11" xfId="0" applyFont="1" applyFill="1" applyBorder="1" applyAlignment="1">
      <alignment horizontal="left"/>
    </xf>
    <xf numFmtId="2" fontId="19" fillId="24" borderId="11" xfId="0" applyNumberFormat="1" applyFont="1" applyFill="1" applyBorder="1"/>
    <xf numFmtId="4" fontId="19" fillId="24" borderId="15" xfId="0" applyNumberFormat="1" applyFont="1" applyFill="1" applyBorder="1" applyAlignment="1">
      <alignment horizontal="right"/>
    </xf>
    <xf numFmtId="0" fontId="19" fillId="24" borderId="12" xfId="0" applyFont="1" applyFill="1" applyBorder="1"/>
    <xf numFmtId="0" fontId="19" fillId="24" borderId="11" xfId="0" applyFont="1" applyFill="1" applyBorder="1" applyAlignment="1">
      <alignment horizontal="right"/>
    </xf>
    <xf numFmtId="0" fontId="19" fillId="24" borderId="15" xfId="0" applyFont="1" applyFill="1" applyBorder="1" applyAlignment="1">
      <alignment horizontal="right"/>
    </xf>
    <xf numFmtId="0" fontId="40" fillId="24" borderId="13" xfId="0" applyFont="1" applyFill="1" applyBorder="1" applyAlignment="1">
      <alignment horizontal="right"/>
    </xf>
    <xf numFmtId="0" fontId="19" fillId="24" borderId="0" xfId="0" applyFont="1" applyFill="1"/>
    <xf numFmtId="0" fontId="45" fillId="0" borderId="0" xfId="98" applyFont="1" applyAlignment="1">
      <alignment horizontal="left"/>
    </xf>
    <xf numFmtId="0" fontId="44" fillId="0" borderId="10" xfId="111" applyFont="1" applyBorder="1" applyAlignment="1">
      <alignment horizontal="center"/>
    </xf>
    <xf numFmtId="0" fontId="0" fillId="0" borderId="17" xfId="0" applyBorder="1" applyAlignment="1">
      <alignment horizontal="center" vertical="center"/>
    </xf>
    <xf numFmtId="0" fontId="0" fillId="0" borderId="22" xfId="0" applyBorder="1" applyAlignment="1">
      <alignment horizontal="center" vertical="center"/>
    </xf>
    <xf numFmtId="0" fontId="51" fillId="28" borderId="19" xfId="0" applyFont="1" applyFill="1" applyBorder="1" applyAlignment="1">
      <alignment horizontal="center" vertical="center" wrapText="1"/>
    </xf>
    <xf numFmtId="0" fontId="51" fillId="28" borderId="20" xfId="0" applyFont="1" applyFill="1" applyBorder="1" applyAlignment="1">
      <alignment horizontal="center" vertical="center" wrapText="1"/>
    </xf>
    <xf numFmtId="0" fontId="55" fillId="0" borderId="19" xfId="0" applyFont="1" applyFill="1" applyBorder="1" applyAlignment="1">
      <alignment horizontal="center" vertical="center"/>
    </xf>
    <xf numFmtId="0" fontId="55" fillId="0" borderId="20" xfId="0" applyFont="1" applyFill="1" applyBorder="1" applyAlignment="1">
      <alignment horizontal="center" vertical="center"/>
    </xf>
    <xf numFmtId="0" fontId="55" fillId="0" borderId="21" xfId="0" applyFont="1" applyFill="1" applyBorder="1" applyAlignment="1">
      <alignment horizontal="center" vertical="center"/>
    </xf>
    <xf numFmtId="0" fontId="41" fillId="0" borderId="0" xfId="0" applyFont="1" applyFill="1" applyAlignment="1">
      <alignment horizontal="left"/>
    </xf>
    <xf numFmtId="0" fontId="41"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ill="1"/>
    <xf numFmtId="0" fontId="18" fillId="0" borderId="0" xfId="98" applyFont="1" applyAlignment="1">
      <alignment horizontal="left"/>
    </xf>
    <xf numFmtId="0" fontId="19" fillId="26" borderId="0" xfId="98" applyFont="1" applyFill="1"/>
    <xf numFmtId="0" fontId="44" fillId="26" borderId="0" xfId="113" applyFont="1" applyFill="1" applyAlignment="1">
      <alignment horizontal="left"/>
    </xf>
    <xf numFmtId="0" fontId="20" fillId="24" borderId="0" xfId="113" applyFont="1" applyFill="1" applyAlignment="1">
      <alignment horizontal="center"/>
    </xf>
    <xf numFmtId="166" fontId="57" fillId="0" borderId="0" xfId="113" applyNumberFormat="1" applyFont="1" applyAlignment="1">
      <alignment horizontal="center"/>
    </xf>
    <xf numFmtId="0" fontId="57" fillId="26" borderId="0" xfId="113" applyFont="1" applyFill="1"/>
    <xf numFmtId="0" fontId="59" fillId="26" borderId="0" xfId="114" applyFont="1" applyFill="1" applyAlignment="1">
      <alignment horizontal="left" wrapText="1"/>
    </xf>
    <xf numFmtId="0" fontId="59" fillId="26" borderId="0" xfId="114" applyFont="1" applyFill="1" applyAlignment="1">
      <alignment wrapText="1"/>
    </xf>
    <xf numFmtId="0" fontId="20" fillId="24" borderId="31" xfId="98" applyFill="1" applyBorder="1" applyAlignment="1">
      <alignment horizontal="center" wrapText="1"/>
    </xf>
    <xf numFmtId="0" fontId="60" fillId="26" borderId="0" xfId="98" applyFont="1" applyFill="1" applyAlignment="1">
      <alignment horizontal="left" wrapText="1"/>
    </xf>
    <xf numFmtId="0" fontId="59" fillId="26" borderId="0" xfId="114" applyFont="1" applyFill="1" applyAlignment="1">
      <alignment horizontal="left"/>
    </xf>
    <xf numFmtId="0" fontId="59" fillId="26" borderId="0" xfId="114" applyFont="1" applyFill="1" applyAlignment="1"/>
    <xf numFmtId="0" fontId="59" fillId="26" borderId="0" xfId="114" applyFont="1" applyFill="1" applyAlignment="1">
      <alignment horizontal="left"/>
    </xf>
    <xf numFmtId="0" fontId="20" fillId="26" borderId="0" xfId="98" applyFill="1" applyAlignment="1">
      <alignment horizontal="center"/>
    </xf>
    <xf numFmtId="0" fontId="45" fillId="30" borderId="17" xfId="98" applyFont="1" applyFill="1" applyBorder="1" applyAlignment="1">
      <alignment horizontal="left"/>
    </xf>
    <xf numFmtId="0" fontId="45" fillId="30" borderId="16" xfId="98" applyFont="1" applyFill="1" applyBorder="1" applyAlignment="1">
      <alignment horizontal="left"/>
    </xf>
    <xf numFmtId="0" fontId="45" fillId="30" borderId="32" xfId="98" applyFont="1" applyFill="1" applyBorder="1" applyAlignment="1">
      <alignment horizontal="left"/>
    </xf>
    <xf numFmtId="0" fontId="61" fillId="26" borderId="17" xfId="98" applyFont="1" applyFill="1" applyBorder="1" applyAlignment="1">
      <alignment horizontal="left" vertical="top" wrapText="1"/>
    </xf>
    <xf numFmtId="0" fontId="43" fillId="26" borderId="16" xfId="98" applyFont="1" applyFill="1" applyBorder="1" applyAlignment="1">
      <alignment horizontal="left" vertical="top" wrapText="1"/>
    </xf>
    <xf numFmtId="0" fontId="43" fillId="26" borderId="32" xfId="98" applyFont="1" applyFill="1" applyBorder="1" applyAlignment="1">
      <alignment horizontal="left" vertical="top" wrapText="1"/>
    </xf>
    <xf numFmtId="0" fontId="43" fillId="26" borderId="17" xfId="98" applyFont="1" applyFill="1" applyBorder="1" applyAlignment="1">
      <alignment horizontal="left" vertical="top" wrapText="1"/>
    </xf>
    <xf numFmtId="0" fontId="62" fillId="26" borderId="0" xfId="98" applyFont="1" applyFill="1" applyAlignment="1">
      <alignment wrapText="1"/>
    </xf>
    <xf numFmtId="0" fontId="62" fillId="25" borderId="33" xfId="98" applyFont="1" applyFill="1" applyBorder="1" applyAlignment="1">
      <alignment horizontal="center" wrapText="1"/>
    </xf>
    <xf numFmtId="0" fontId="62" fillId="25" borderId="34" xfId="98" applyFont="1" applyFill="1" applyBorder="1" applyAlignment="1">
      <alignment horizontal="center" wrapText="1"/>
    </xf>
    <xf numFmtId="0" fontId="62" fillId="25" borderId="35" xfId="98" applyFont="1" applyFill="1" applyBorder="1" applyAlignment="1">
      <alignment horizontal="center" wrapText="1"/>
    </xf>
    <xf numFmtId="0" fontId="62" fillId="26" borderId="0" xfId="98" applyFont="1" applyFill="1" applyAlignment="1">
      <alignment horizontal="center" wrapText="1"/>
    </xf>
    <xf numFmtId="0" fontId="60" fillId="26" borderId="11" xfId="98" applyFont="1" applyFill="1" applyBorder="1" applyAlignment="1">
      <alignment wrapText="1"/>
    </xf>
    <xf numFmtId="0" fontId="20" fillId="30" borderId="13" xfId="98" applyFill="1" applyBorder="1" applyAlignment="1">
      <alignment horizontal="center"/>
    </xf>
    <xf numFmtId="0" fontId="20" fillId="30" borderId="11" xfId="98" applyFill="1" applyBorder="1" applyAlignment="1">
      <alignment horizontal="center"/>
    </xf>
    <xf numFmtId="0" fontId="20" fillId="30" borderId="36" xfId="98" applyFill="1" applyBorder="1" applyAlignment="1">
      <alignment horizontal="center"/>
    </xf>
    <xf numFmtId="0" fontId="20" fillId="24" borderId="13" xfId="98" applyFill="1" applyBorder="1" applyAlignment="1">
      <alignment horizontal="center"/>
    </xf>
    <xf numFmtId="0" fontId="20" fillId="24" borderId="11" xfId="98" applyFill="1" applyBorder="1" applyAlignment="1">
      <alignment horizontal="center"/>
    </xf>
    <xf numFmtId="0" fontId="20" fillId="24" borderId="36" xfId="98" applyFill="1" applyBorder="1" applyAlignment="1">
      <alignment horizontal="center"/>
    </xf>
    <xf numFmtId="0" fontId="60" fillId="26" borderId="12" xfId="98" applyFont="1" applyFill="1" applyBorder="1" applyAlignment="1">
      <alignment wrapText="1"/>
    </xf>
    <xf numFmtId="0" fontId="20" fillId="30" borderId="15" xfId="98" applyFill="1" applyBorder="1" applyAlignment="1">
      <alignment horizontal="center"/>
    </xf>
    <xf numFmtId="0" fontId="20" fillId="30" borderId="12" xfId="98" applyFill="1" applyBorder="1" applyAlignment="1">
      <alignment horizontal="center"/>
    </xf>
    <xf numFmtId="0" fontId="20" fillId="30" borderId="37" xfId="98" applyFill="1" applyBorder="1" applyAlignment="1">
      <alignment horizontal="center"/>
    </xf>
    <xf numFmtId="0" fontId="20" fillId="24" borderId="15" xfId="98" applyFill="1" applyBorder="1" applyAlignment="1">
      <alignment horizontal="center"/>
    </xf>
    <xf numFmtId="0" fontId="20" fillId="24" borderId="12" xfId="98" applyFill="1" applyBorder="1" applyAlignment="1">
      <alignment horizontal="center"/>
    </xf>
    <xf numFmtId="0" fontId="20" fillId="24" borderId="37" xfId="98" applyFill="1" applyBorder="1" applyAlignment="1">
      <alignment horizontal="center"/>
    </xf>
    <xf numFmtId="0" fontId="20" fillId="31" borderId="0" xfId="98" applyFill="1"/>
    <xf numFmtId="0" fontId="20" fillId="31" borderId="38" xfId="98" applyFill="1" applyBorder="1"/>
    <xf numFmtId="0" fontId="20" fillId="26" borderId="10" xfId="98" applyFill="1" applyBorder="1"/>
    <xf numFmtId="0" fontId="47" fillId="26" borderId="0" xfId="98" applyFont="1" applyFill="1"/>
    <xf numFmtId="0" fontId="20" fillId="26" borderId="0" xfId="98" applyFill="1" applyAlignment="1">
      <alignment wrapText="1"/>
    </xf>
    <xf numFmtId="0" fontId="63" fillId="0" borderId="0" xfId="113" applyFont="1" applyAlignment="1">
      <alignment horizontal="left"/>
    </xf>
    <xf numFmtId="0" fontId="60" fillId="26" borderId="0" xfId="98" applyFont="1" applyFill="1"/>
    <xf numFmtId="0" fontId="58" fillId="26" borderId="0" xfId="114" applyFill="1"/>
    <xf numFmtId="0" fontId="1" fillId="26" borderId="0" xfId="113" applyFill="1"/>
    <xf numFmtId="0" fontId="43" fillId="26" borderId="0" xfId="98" applyFont="1" applyFill="1"/>
  </cellXfs>
  <cellStyles count="115">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14" xr:uid="{72D1DBD1-A605-4397-A796-BE85B3F2CC90}"/>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1" xfId="102" xr:uid="{00000000-0005-0000-0000-000056000000}"/>
    <cellStyle name="Normal 4 12" xfId="104" xr:uid="{00000000-0005-0000-0000-000057000000}"/>
    <cellStyle name="Normal 4 13" xfId="111" xr:uid="{BDB1E975-B0BE-458A-9F0C-49AA303A0608}"/>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BD6A5A2F-4294-4EE5-BA90-B19B03E1F535}"/>
    <cellStyle name="Normal 9" xfId="113" xr:uid="{B74A0935-669F-4D48-B3DA-781E7739B4BB}"/>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2" xfId="112" xr:uid="{0B0AAD77-7011-423D-B0E0-7D73FDA93176}"/>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A3311346-098A-4152-8EDC-D21438B015DE}"/>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E4" sqref="E4:H6"/>
    </sheetView>
  </sheetViews>
  <sheetFormatPr defaultRowHeight="12.75" x14ac:dyDescent="0.2"/>
  <cols>
    <col min="1" max="3" width="9.42578125" customWidth="1"/>
    <col min="4" max="7" width="8.85546875" customWidth="1"/>
    <col min="8" max="9" width="8.85546875" style="7" customWidth="1"/>
  </cols>
  <sheetData>
    <row r="1" spans="1:11" ht="15.75" x14ac:dyDescent="0.25">
      <c r="A1" s="9" t="s">
        <v>0</v>
      </c>
      <c r="B1" s="8"/>
      <c r="C1" s="8"/>
      <c r="D1" s="8"/>
      <c r="E1" s="4"/>
      <c r="F1" s="4"/>
      <c r="G1" s="4"/>
      <c r="H1" s="4"/>
      <c r="I1" s="4"/>
    </row>
    <row r="2" spans="1:11" ht="15.75" x14ac:dyDescent="0.25">
      <c r="A2" s="2"/>
      <c r="B2" s="1"/>
      <c r="C2" s="3"/>
      <c r="D2" s="3"/>
      <c r="E2" s="3"/>
      <c r="F2" s="3"/>
      <c r="G2" s="3"/>
      <c r="H2" s="3"/>
      <c r="I2" s="3"/>
      <c r="J2" s="3"/>
    </row>
    <row r="3" spans="1:11" s="6" customFormat="1" x14ac:dyDescent="0.2">
      <c r="A3" s="107"/>
      <c r="B3" s="107"/>
      <c r="C3" s="107"/>
      <c r="D3" s="92" t="s">
        <v>6</v>
      </c>
      <c r="E3" s="92" t="s">
        <v>7</v>
      </c>
      <c r="F3" s="92" t="s">
        <v>8</v>
      </c>
      <c r="G3" s="92" t="s">
        <v>9</v>
      </c>
      <c r="H3" s="92" t="s">
        <v>10</v>
      </c>
      <c r="I3" s="93" t="s">
        <v>37</v>
      </c>
    </row>
    <row r="4" spans="1:11" x14ac:dyDescent="0.2">
      <c r="A4" s="106" t="s">
        <v>39</v>
      </c>
      <c r="B4" s="106"/>
      <c r="C4" s="106"/>
      <c r="D4" s="22">
        <f>'Cost Summary'!B13</f>
        <v>30</v>
      </c>
      <c r="E4" s="91">
        <v>6</v>
      </c>
      <c r="F4" s="91">
        <v>8</v>
      </c>
      <c r="G4" s="91">
        <v>6</v>
      </c>
      <c r="H4" s="91">
        <v>6</v>
      </c>
      <c r="I4" s="94">
        <f>SUM(D4:H4)</f>
        <v>56</v>
      </c>
    </row>
    <row r="5" spans="1:11" x14ac:dyDescent="0.2">
      <c r="A5" s="106" t="s">
        <v>40</v>
      </c>
      <c r="B5" s="106"/>
      <c r="C5" s="106"/>
      <c r="D5" s="22">
        <f>'Cost Summary'!B14</f>
        <v>28.587681022149887</v>
      </c>
      <c r="E5" s="91">
        <v>12</v>
      </c>
      <c r="F5" s="91">
        <v>10</v>
      </c>
      <c r="G5" s="91">
        <v>6</v>
      </c>
      <c r="H5" s="91">
        <v>6</v>
      </c>
      <c r="I5" s="94">
        <f t="shared" ref="I5:I6" si="0">SUM(D5:H5)</f>
        <v>62.587681022149887</v>
      </c>
      <c r="K5" s="5"/>
    </row>
    <row r="6" spans="1:11" x14ac:dyDescent="0.2">
      <c r="A6" s="106" t="s">
        <v>41</v>
      </c>
      <c r="B6" s="106"/>
      <c r="C6" s="106"/>
      <c r="D6" s="22">
        <f>'Cost Summary'!B15</f>
        <v>12.380534244065583</v>
      </c>
      <c r="E6" s="91">
        <v>16</v>
      </c>
      <c r="F6" s="91">
        <v>12</v>
      </c>
      <c r="G6" s="91">
        <v>10.5</v>
      </c>
      <c r="H6" s="91">
        <v>9</v>
      </c>
      <c r="I6" s="94">
        <f t="shared" si="0"/>
        <v>59.880534244065586</v>
      </c>
      <c r="K6" s="5"/>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
  <sheetViews>
    <sheetView workbookViewId="0">
      <selection activeCell="I45" sqref="I45"/>
    </sheetView>
  </sheetViews>
  <sheetFormatPr defaultRowHeight="12.75" x14ac:dyDescent="0.2"/>
  <cols>
    <col min="11" max="11" width="14.42578125" bestFit="1" customWidth="1"/>
  </cols>
  <sheetData>
    <row r="1" spans="1:19" ht="15.75" x14ac:dyDescent="0.25">
      <c r="A1" s="9" t="s">
        <v>0</v>
      </c>
      <c r="B1" s="8"/>
      <c r="C1" s="8"/>
      <c r="D1" s="8"/>
      <c r="E1" s="4"/>
      <c r="F1" s="4"/>
      <c r="G1" s="4"/>
      <c r="H1" s="4"/>
      <c r="I1" s="4"/>
    </row>
    <row r="2" spans="1:19" ht="15.75" x14ac:dyDescent="0.25">
      <c r="A2" s="4"/>
      <c r="B2" s="3"/>
      <c r="C2" s="3"/>
      <c r="D2" s="3"/>
      <c r="E2" s="3"/>
      <c r="F2" s="3"/>
      <c r="G2" s="3"/>
      <c r="H2" s="3"/>
      <c r="I2" s="3"/>
    </row>
    <row r="3" spans="1:19" x14ac:dyDescent="0.2">
      <c r="A3" s="107"/>
      <c r="B3" s="107"/>
      <c r="C3" s="107"/>
      <c r="D3" s="92" t="s">
        <v>6</v>
      </c>
      <c r="E3" s="92" t="s">
        <v>7</v>
      </c>
      <c r="F3" s="92" t="s">
        <v>8</v>
      </c>
      <c r="G3" s="92" t="s">
        <v>9</v>
      </c>
      <c r="H3" s="92" t="s">
        <v>10</v>
      </c>
      <c r="I3" s="93" t="s">
        <v>37</v>
      </c>
      <c r="J3" s="6"/>
      <c r="K3" s="6"/>
      <c r="L3" s="6"/>
      <c r="M3" s="6"/>
      <c r="N3" s="6"/>
      <c r="O3" s="6"/>
      <c r="P3" s="6"/>
      <c r="Q3" s="6"/>
      <c r="R3" s="6"/>
      <c r="S3" s="6"/>
    </row>
    <row r="4" spans="1:19" x14ac:dyDescent="0.2">
      <c r="A4" s="106" t="s">
        <v>39</v>
      </c>
      <c r="B4" s="106"/>
      <c r="C4" s="106"/>
      <c r="D4" s="22">
        <f>'Cost Summary'!B13</f>
        <v>30</v>
      </c>
      <c r="E4" s="95">
        <v>10.4</v>
      </c>
      <c r="F4" s="95">
        <v>9.6</v>
      </c>
      <c r="G4" s="95">
        <v>8.3999999999999986</v>
      </c>
      <c r="H4" s="95">
        <v>10.8</v>
      </c>
      <c r="I4" s="94">
        <f>SUM(D4:H4)</f>
        <v>69.2</v>
      </c>
      <c r="J4" s="7"/>
      <c r="K4" s="7"/>
      <c r="L4" s="7"/>
      <c r="M4" s="7"/>
      <c r="N4" s="7"/>
      <c r="O4" s="7"/>
      <c r="P4" s="7"/>
      <c r="Q4" s="7"/>
      <c r="R4" s="7"/>
      <c r="S4" s="7"/>
    </row>
    <row r="5" spans="1:19" x14ac:dyDescent="0.2">
      <c r="A5" s="106" t="s">
        <v>40</v>
      </c>
      <c r="B5" s="106"/>
      <c r="C5" s="106"/>
      <c r="D5" s="22">
        <f>'Cost Summary'!B14</f>
        <v>28.587681022149887</v>
      </c>
      <c r="E5" s="95">
        <v>16.8</v>
      </c>
      <c r="F5" s="95">
        <v>15.6</v>
      </c>
      <c r="G5" s="95">
        <v>12.299999999999999</v>
      </c>
      <c r="H5" s="95">
        <v>12</v>
      </c>
      <c r="I5" s="94">
        <f t="shared" ref="I5:I6" si="0">SUM(D5:H5)</f>
        <v>85.287681022149897</v>
      </c>
      <c r="J5" s="7"/>
      <c r="K5" s="7"/>
      <c r="L5" s="7"/>
      <c r="M5" s="7"/>
      <c r="N5" s="7"/>
      <c r="O5" s="7"/>
      <c r="P5" s="7"/>
      <c r="Q5" s="7"/>
      <c r="R5" s="7"/>
      <c r="S5" s="7"/>
    </row>
    <row r="6" spans="1:19" x14ac:dyDescent="0.2">
      <c r="A6" s="106" t="s">
        <v>41</v>
      </c>
      <c r="B6" s="106"/>
      <c r="C6" s="106"/>
      <c r="D6" s="22">
        <f>'Cost Summary'!B15</f>
        <v>12.380534244065583</v>
      </c>
      <c r="E6" s="95">
        <v>18.8</v>
      </c>
      <c r="F6" s="95">
        <v>16.8</v>
      </c>
      <c r="G6" s="95">
        <v>13.200000000000001</v>
      </c>
      <c r="H6" s="95">
        <v>11.7</v>
      </c>
      <c r="I6" s="94">
        <f t="shared" si="0"/>
        <v>72.880534244065586</v>
      </c>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row r="25" spans="1:19" x14ac:dyDescent="0.2">
      <c r="A25" s="7"/>
      <c r="B25" s="7"/>
      <c r="C25" s="7"/>
      <c r="D25" s="7"/>
      <c r="E25" s="7"/>
      <c r="F25" s="7"/>
      <c r="G25" s="7"/>
      <c r="H25" s="7"/>
      <c r="I25" s="7"/>
      <c r="J25" s="7"/>
      <c r="K25" s="7"/>
      <c r="L25" s="7"/>
      <c r="M25" s="7"/>
      <c r="N25" s="7"/>
      <c r="O25" s="7"/>
      <c r="P25" s="7"/>
      <c r="Q25" s="7"/>
      <c r="R25" s="7"/>
      <c r="S25" s="7"/>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workbookViewId="0">
      <selection activeCell="E4" sqref="E4:H6"/>
    </sheetView>
  </sheetViews>
  <sheetFormatPr defaultRowHeight="12.75" x14ac:dyDescent="0.2"/>
  <cols>
    <col min="10" max="10" width="9.85546875" bestFit="1" customWidth="1"/>
    <col min="11" max="11" width="14.42578125" bestFit="1" customWidth="1"/>
  </cols>
  <sheetData>
    <row r="1" spans="1:19" ht="15.75" x14ac:dyDescent="0.25">
      <c r="A1" s="9" t="s">
        <v>0</v>
      </c>
      <c r="B1" s="8"/>
      <c r="C1" s="8"/>
      <c r="D1" s="8"/>
      <c r="E1" s="4"/>
      <c r="F1" s="4"/>
      <c r="G1" s="4"/>
      <c r="H1" s="4"/>
      <c r="I1" s="4"/>
      <c r="J1" s="7"/>
    </row>
    <row r="2" spans="1:19" ht="15.75" x14ac:dyDescent="0.25">
      <c r="A2" s="4"/>
      <c r="B2" s="3"/>
      <c r="C2" s="3"/>
      <c r="D2" s="3"/>
      <c r="E2" s="3"/>
      <c r="F2" s="3"/>
      <c r="G2" s="3"/>
      <c r="H2" s="3"/>
      <c r="I2" s="3"/>
    </row>
    <row r="3" spans="1:19" x14ac:dyDescent="0.2">
      <c r="A3" s="107"/>
      <c r="B3" s="107"/>
      <c r="C3" s="107"/>
      <c r="D3" s="92" t="s">
        <v>6</v>
      </c>
      <c r="E3" s="92" t="s">
        <v>7</v>
      </c>
      <c r="F3" s="92" t="s">
        <v>8</v>
      </c>
      <c r="G3" s="92" t="s">
        <v>9</v>
      </c>
      <c r="H3" s="92" t="s">
        <v>10</v>
      </c>
      <c r="I3" s="93" t="s">
        <v>37</v>
      </c>
      <c r="J3" s="6"/>
      <c r="K3" s="6"/>
      <c r="L3" s="6"/>
      <c r="M3" s="6"/>
      <c r="N3" s="6"/>
      <c r="O3" s="6"/>
      <c r="P3" s="6"/>
      <c r="Q3" s="6"/>
      <c r="R3" s="6"/>
      <c r="S3" s="6"/>
    </row>
    <row r="4" spans="1:19" x14ac:dyDescent="0.2">
      <c r="A4" s="106" t="s">
        <v>39</v>
      </c>
      <c r="B4" s="106"/>
      <c r="C4" s="106"/>
      <c r="D4" s="22">
        <f>'Cost Summary'!B13</f>
        <v>30</v>
      </c>
      <c r="E4" s="96">
        <v>6</v>
      </c>
      <c r="F4" s="96">
        <v>8.8000000000000007</v>
      </c>
      <c r="G4" s="96">
        <v>7.8000000000000007</v>
      </c>
      <c r="H4" s="96">
        <v>6</v>
      </c>
      <c r="I4" s="94">
        <f>SUM(D4:H4)</f>
        <v>58.599999999999994</v>
      </c>
      <c r="J4" s="7"/>
      <c r="K4" s="7"/>
      <c r="L4" s="7"/>
      <c r="M4" s="7"/>
      <c r="N4" s="7"/>
      <c r="O4" s="7"/>
      <c r="P4" s="7"/>
      <c r="Q4" s="7"/>
      <c r="R4" s="7"/>
      <c r="S4" s="7"/>
    </row>
    <row r="5" spans="1:19" x14ac:dyDescent="0.2">
      <c r="A5" s="106" t="s">
        <v>40</v>
      </c>
      <c r="B5" s="106"/>
      <c r="C5" s="106"/>
      <c r="D5" s="22">
        <f>'Cost Summary'!B14</f>
        <v>28.587681022149887</v>
      </c>
      <c r="E5" s="96">
        <v>10.8</v>
      </c>
      <c r="F5" s="96">
        <v>10</v>
      </c>
      <c r="G5" s="96">
        <v>8.3999999999999986</v>
      </c>
      <c r="H5" s="96">
        <v>9.8999999999999986</v>
      </c>
      <c r="I5" s="94">
        <f t="shared" ref="I5:I6" si="0">SUM(D5:H5)</f>
        <v>67.687681022149889</v>
      </c>
      <c r="J5" s="7"/>
      <c r="K5" s="7"/>
      <c r="L5" s="7"/>
      <c r="M5" s="7"/>
      <c r="N5" s="7"/>
      <c r="O5" s="7"/>
      <c r="P5" s="7"/>
      <c r="Q5" s="7"/>
      <c r="R5" s="7"/>
      <c r="S5" s="7"/>
    </row>
    <row r="6" spans="1:19" x14ac:dyDescent="0.2">
      <c r="A6" s="106" t="s">
        <v>41</v>
      </c>
      <c r="B6" s="106"/>
      <c r="C6" s="106"/>
      <c r="D6" s="22">
        <f>'Cost Summary'!B15</f>
        <v>12.380534244065583</v>
      </c>
      <c r="E6" s="96">
        <v>19.600000000000001</v>
      </c>
      <c r="F6" s="96">
        <v>19.2</v>
      </c>
      <c r="G6" s="96">
        <v>12.600000000000001</v>
      </c>
      <c r="H6" s="96">
        <v>13.799999999999999</v>
      </c>
      <c r="I6" s="94">
        <f t="shared" si="0"/>
        <v>77.580534244065589</v>
      </c>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row r="25" spans="1:19" x14ac:dyDescent="0.2">
      <c r="A25" s="7"/>
      <c r="B25" s="7"/>
      <c r="C25" s="7"/>
      <c r="D25" s="7"/>
      <c r="E25" s="7"/>
      <c r="F25" s="7"/>
      <c r="G25" s="7"/>
      <c r="H25" s="7"/>
      <c r="I25" s="7"/>
      <c r="J25" s="7"/>
      <c r="K25" s="7"/>
      <c r="L25" s="7"/>
      <c r="M25" s="7"/>
      <c r="N25" s="7"/>
      <c r="O25" s="7"/>
      <c r="P25" s="7"/>
      <c r="Q25" s="7"/>
      <c r="R25" s="7"/>
      <c r="S25" s="7"/>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workbookViewId="0">
      <selection activeCell="E4" sqref="E4:H6"/>
    </sheetView>
  </sheetViews>
  <sheetFormatPr defaultRowHeight="12.75" x14ac:dyDescent="0.2"/>
  <cols>
    <col min="10" max="10" width="9.85546875" bestFit="1" customWidth="1"/>
    <col min="11" max="11" width="14.42578125" bestFit="1" customWidth="1"/>
  </cols>
  <sheetData>
    <row r="1" spans="1:19" ht="15.75" x14ac:dyDescent="0.25">
      <c r="A1" s="9" t="s">
        <v>0</v>
      </c>
      <c r="B1" s="8"/>
      <c r="C1" s="8"/>
      <c r="D1" s="8"/>
      <c r="E1" s="4"/>
      <c r="F1" s="4"/>
      <c r="G1" s="4"/>
      <c r="H1" s="4"/>
      <c r="I1" s="4"/>
      <c r="J1" s="7"/>
    </row>
    <row r="2" spans="1:19" ht="15.75" x14ac:dyDescent="0.25">
      <c r="A2" s="4"/>
      <c r="B2" s="3"/>
      <c r="C2" s="3"/>
      <c r="D2" s="3"/>
      <c r="E2" s="3"/>
      <c r="F2" s="3"/>
      <c r="G2" s="3"/>
      <c r="H2" s="3"/>
      <c r="I2" s="3"/>
      <c r="J2" s="3"/>
    </row>
    <row r="3" spans="1:19" x14ac:dyDescent="0.2">
      <c r="A3" s="107"/>
      <c r="B3" s="107"/>
      <c r="C3" s="107"/>
      <c r="D3" s="92" t="s">
        <v>6</v>
      </c>
      <c r="E3" s="92" t="s">
        <v>7</v>
      </c>
      <c r="F3" s="92" t="s">
        <v>8</v>
      </c>
      <c r="G3" s="92" t="s">
        <v>9</v>
      </c>
      <c r="H3" s="92" t="s">
        <v>10</v>
      </c>
      <c r="I3" s="93" t="s">
        <v>37</v>
      </c>
      <c r="J3" s="6"/>
      <c r="K3" s="6"/>
      <c r="L3" s="6"/>
      <c r="M3" s="6"/>
      <c r="N3" s="6"/>
      <c r="O3" s="6"/>
      <c r="P3" s="6"/>
      <c r="Q3" s="6"/>
      <c r="R3" s="6"/>
      <c r="S3" s="6"/>
    </row>
    <row r="4" spans="1:19" x14ac:dyDescent="0.2">
      <c r="A4" s="106" t="s">
        <v>39</v>
      </c>
      <c r="B4" s="106"/>
      <c r="C4" s="106"/>
      <c r="D4" s="22">
        <f>'Cost Summary'!B13</f>
        <v>30</v>
      </c>
      <c r="E4" s="97">
        <v>4.8</v>
      </c>
      <c r="F4" s="97">
        <v>8.8000000000000007</v>
      </c>
      <c r="G4" s="97">
        <v>7.5</v>
      </c>
      <c r="H4" s="97">
        <v>5.4</v>
      </c>
      <c r="I4" s="94">
        <f>SUM(D4:H4)</f>
        <v>56.499999999999993</v>
      </c>
      <c r="J4" s="7"/>
      <c r="K4" s="7"/>
      <c r="L4" s="7"/>
      <c r="M4" s="7"/>
      <c r="N4" s="7"/>
      <c r="O4" s="7"/>
      <c r="P4" s="7"/>
      <c r="Q4" s="7"/>
      <c r="R4" s="7"/>
      <c r="S4" s="7"/>
    </row>
    <row r="5" spans="1:19" x14ac:dyDescent="0.2">
      <c r="A5" s="106" t="s">
        <v>40</v>
      </c>
      <c r="B5" s="106"/>
      <c r="C5" s="106"/>
      <c r="D5" s="22">
        <f>'Cost Summary'!B14</f>
        <v>28.587681022149887</v>
      </c>
      <c r="E5" s="97">
        <v>9.6</v>
      </c>
      <c r="F5" s="97">
        <v>10</v>
      </c>
      <c r="G5" s="97">
        <v>8.1000000000000014</v>
      </c>
      <c r="H5" s="97">
        <v>9.3000000000000007</v>
      </c>
      <c r="I5" s="94">
        <f t="shared" ref="I5:I6" si="0">SUM(D5:H5)</f>
        <v>65.587681022149894</v>
      </c>
      <c r="J5" s="7"/>
      <c r="K5" s="7"/>
      <c r="L5" s="7"/>
      <c r="M5" s="7"/>
      <c r="N5" s="7"/>
      <c r="O5" s="7"/>
      <c r="P5" s="7"/>
      <c r="Q5" s="7"/>
      <c r="R5" s="7"/>
      <c r="S5" s="7"/>
    </row>
    <row r="6" spans="1:19" x14ac:dyDescent="0.2">
      <c r="A6" s="106" t="s">
        <v>41</v>
      </c>
      <c r="B6" s="106"/>
      <c r="C6" s="106"/>
      <c r="D6" s="22">
        <f>'Cost Summary'!B15</f>
        <v>12.380534244065583</v>
      </c>
      <c r="E6" s="97">
        <v>18.399999999999999</v>
      </c>
      <c r="F6" s="97">
        <v>19.2</v>
      </c>
      <c r="G6" s="97">
        <v>12.299999999999999</v>
      </c>
      <c r="H6" s="97">
        <v>13.200000000000001</v>
      </c>
      <c r="I6" s="94">
        <f t="shared" si="0"/>
        <v>75.480534244065581</v>
      </c>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row r="25" spans="1:19" x14ac:dyDescent="0.2">
      <c r="A25" s="7"/>
      <c r="B25" s="7"/>
      <c r="C25" s="7"/>
      <c r="D25" s="7"/>
      <c r="E25" s="7"/>
      <c r="F25" s="7"/>
      <c r="G25" s="7"/>
      <c r="H25" s="7"/>
      <c r="I25" s="7"/>
      <c r="J25" s="7"/>
      <c r="K25" s="7"/>
      <c r="L25" s="7"/>
      <c r="M25" s="7"/>
      <c r="N25" s="7"/>
      <c r="O25" s="7"/>
      <c r="P25" s="7"/>
      <c r="Q25" s="7"/>
      <c r="R25" s="7"/>
      <c r="S25"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
  <sheetViews>
    <sheetView workbookViewId="0">
      <selection activeCell="K30" sqref="K30"/>
    </sheetView>
  </sheetViews>
  <sheetFormatPr defaultColWidth="9.140625" defaultRowHeight="12.75" x14ac:dyDescent="0.2"/>
  <cols>
    <col min="1" max="9" width="9.140625" style="7"/>
    <col min="10" max="10" width="9.85546875" style="7" bestFit="1" customWidth="1"/>
    <col min="11" max="11" width="14.42578125" style="7" bestFit="1" customWidth="1"/>
    <col min="12" max="16384" width="9.140625" style="7"/>
  </cols>
  <sheetData>
    <row r="1" spans="1:19" ht="15.75" x14ac:dyDescent="0.25">
      <c r="A1" s="9" t="s">
        <v>0</v>
      </c>
      <c r="B1" s="8"/>
      <c r="C1" s="8"/>
      <c r="D1" s="8"/>
      <c r="E1" s="4"/>
      <c r="F1" s="4"/>
      <c r="G1" s="4"/>
      <c r="H1" s="4"/>
      <c r="I1" s="4"/>
    </row>
    <row r="2" spans="1:19" ht="15.75" x14ac:dyDescent="0.25">
      <c r="A2" s="4"/>
      <c r="B2" s="3"/>
      <c r="C2" s="3"/>
      <c r="D2" s="3"/>
      <c r="E2" s="3"/>
      <c r="F2" s="3"/>
      <c r="G2" s="3"/>
      <c r="H2" s="3"/>
      <c r="I2" s="3"/>
      <c r="J2" s="3"/>
    </row>
    <row r="3" spans="1:19" x14ac:dyDescent="0.2">
      <c r="A3" s="107"/>
      <c r="B3" s="107"/>
      <c r="C3" s="107"/>
      <c r="D3" s="92" t="s">
        <v>6</v>
      </c>
      <c r="E3" s="92" t="s">
        <v>7</v>
      </c>
      <c r="F3" s="92" t="s">
        <v>8</v>
      </c>
      <c r="G3" s="92" t="s">
        <v>9</v>
      </c>
      <c r="H3" s="92" t="s">
        <v>10</v>
      </c>
      <c r="I3" s="93" t="s">
        <v>37</v>
      </c>
      <c r="J3" s="6"/>
      <c r="K3" s="6"/>
      <c r="L3" s="6"/>
      <c r="M3" s="6"/>
      <c r="N3" s="6"/>
      <c r="O3" s="6"/>
      <c r="P3" s="6"/>
      <c r="Q3" s="6"/>
      <c r="R3" s="6"/>
      <c r="S3" s="6"/>
    </row>
    <row r="4" spans="1:19" x14ac:dyDescent="0.2">
      <c r="A4" s="106" t="s">
        <v>39</v>
      </c>
      <c r="B4" s="106"/>
      <c r="C4" s="106"/>
      <c r="D4" s="22">
        <f>'Cost Summary'!B13</f>
        <v>30</v>
      </c>
      <c r="E4" s="6">
        <v>8.8000000000000007</v>
      </c>
      <c r="F4" s="6">
        <v>11.2</v>
      </c>
      <c r="G4" s="6">
        <v>12</v>
      </c>
      <c r="H4" s="6">
        <v>10.199999999999999</v>
      </c>
      <c r="I4" s="94">
        <f>SUM(D4:H4)</f>
        <v>72.2</v>
      </c>
    </row>
    <row r="5" spans="1:19" x14ac:dyDescent="0.2">
      <c r="A5" s="106" t="s">
        <v>40</v>
      </c>
      <c r="B5" s="106"/>
      <c r="C5" s="106"/>
      <c r="D5" s="22">
        <f>'Cost Summary'!B14</f>
        <v>28.587681022149887</v>
      </c>
      <c r="E5" s="6">
        <v>12.8</v>
      </c>
      <c r="F5" s="6">
        <v>16</v>
      </c>
      <c r="G5" s="6">
        <v>12.3</v>
      </c>
      <c r="H5" s="6">
        <v>13.5</v>
      </c>
      <c r="I5" s="94">
        <f t="shared" ref="I5:I6" si="0">SUM(D5:H5)</f>
        <v>83.187681022149889</v>
      </c>
    </row>
    <row r="6" spans="1:19" x14ac:dyDescent="0.2">
      <c r="A6" s="106" t="s">
        <v>41</v>
      </c>
      <c r="B6" s="106"/>
      <c r="C6" s="106"/>
      <c r="D6" s="22">
        <f>'Cost Summary'!B15</f>
        <v>12.380534244065583</v>
      </c>
      <c r="E6" s="6">
        <v>19.2</v>
      </c>
      <c r="F6" s="6">
        <v>18</v>
      </c>
      <c r="G6" s="6">
        <v>14.1</v>
      </c>
      <c r="H6" s="6">
        <v>12.6</v>
      </c>
      <c r="I6" s="94">
        <f t="shared" si="0"/>
        <v>76.280534244065578</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23"/>
  <sheetViews>
    <sheetView workbookViewId="0">
      <selection activeCell="J18" sqref="J18"/>
    </sheetView>
  </sheetViews>
  <sheetFormatPr defaultColWidth="9.140625"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108"/>
      <c r="B1" s="33"/>
      <c r="C1" s="34" t="s">
        <v>19</v>
      </c>
      <c r="D1" s="110" t="s">
        <v>20</v>
      </c>
      <c r="E1" s="111"/>
      <c r="F1" s="35"/>
      <c r="G1" s="36"/>
      <c r="H1" s="37" t="s">
        <v>21</v>
      </c>
    </row>
    <row r="2" spans="1:13" ht="39" customHeight="1" thickBot="1" x14ac:dyDescent="0.25">
      <c r="A2" s="109"/>
      <c r="B2" s="38" t="s">
        <v>22</v>
      </c>
      <c r="C2" s="39" t="s">
        <v>23</v>
      </c>
      <c r="D2" s="40" t="s">
        <v>24</v>
      </c>
      <c r="E2" s="41" t="s">
        <v>25</v>
      </c>
      <c r="F2" s="42" t="s">
        <v>43</v>
      </c>
      <c r="G2" s="43" t="s">
        <v>26</v>
      </c>
      <c r="H2" s="44" t="s">
        <v>27</v>
      </c>
      <c r="J2" s="45" t="s">
        <v>28</v>
      </c>
    </row>
    <row r="3" spans="1:13" ht="15" x14ac:dyDescent="0.2">
      <c r="A3" s="90" t="s">
        <v>39</v>
      </c>
      <c r="B3" s="46">
        <f>J3*D3</f>
        <v>85352.825242718434</v>
      </c>
      <c r="C3" s="47">
        <v>15000</v>
      </c>
      <c r="D3" s="48">
        <v>0.03</v>
      </c>
      <c r="E3" s="47">
        <v>20051</v>
      </c>
      <c r="F3" s="47">
        <f>E3*F7</f>
        <v>160408</v>
      </c>
      <c r="G3" s="49">
        <v>129145</v>
      </c>
      <c r="H3" s="50">
        <f>B3+C3+F3+G3</f>
        <v>389905.82524271845</v>
      </c>
      <c r="J3" s="51">
        <f>(C7-(F3+G3)-C3)/(D3+1)</f>
        <v>2845094.1747572813</v>
      </c>
      <c r="K3" s="52"/>
      <c r="L3" s="52"/>
      <c r="M3" s="52"/>
    </row>
    <row r="4" spans="1:13" ht="15" x14ac:dyDescent="0.2">
      <c r="A4" s="90" t="s">
        <v>40</v>
      </c>
      <c r="B4" s="46">
        <f>J4*D4</f>
        <v>113069.53846153847</v>
      </c>
      <c r="C4" s="53">
        <v>8000</v>
      </c>
      <c r="D4" s="54">
        <v>0.04</v>
      </c>
      <c r="E4" s="53">
        <v>30143</v>
      </c>
      <c r="F4" s="47">
        <f>E4*F7</f>
        <v>241144</v>
      </c>
      <c r="G4" s="55">
        <v>46048</v>
      </c>
      <c r="H4" s="50">
        <f t="shared" ref="H4:H5" si="0">B4+C4+F4+G4</f>
        <v>408261.5384615385</v>
      </c>
      <c r="J4" s="56">
        <f>(C7-(F4+G4)-C4)/(D4+1)</f>
        <v>2826738.4615384615</v>
      </c>
      <c r="K4" s="52"/>
      <c r="L4" s="52"/>
      <c r="M4" s="52"/>
    </row>
    <row r="5" spans="1:13" ht="15" x14ac:dyDescent="0.2">
      <c r="A5" s="90" t="s">
        <v>41</v>
      </c>
      <c r="B5" s="46">
        <f>J5*D5</f>
        <v>205363.56977283265</v>
      </c>
      <c r="C5" s="53">
        <v>10000</v>
      </c>
      <c r="D5" s="54">
        <v>7.85E-2</v>
      </c>
      <c r="E5" s="53">
        <v>45104</v>
      </c>
      <c r="F5" s="47">
        <f>E5*F7</f>
        <v>360832</v>
      </c>
      <c r="G5" s="55">
        <v>42708</v>
      </c>
      <c r="H5" s="50">
        <f t="shared" si="0"/>
        <v>618903.56977283268</v>
      </c>
      <c r="J5" s="56">
        <f>(C7-(F5+G5)-C5)/(D5+1)</f>
        <v>2616096.4302271674</v>
      </c>
      <c r="K5" s="52"/>
      <c r="L5" s="52"/>
      <c r="M5" s="52"/>
    </row>
    <row r="6" spans="1:13" ht="13.5" thickBot="1" x14ac:dyDescent="0.25">
      <c r="A6" s="57"/>
      <c r="B6" s="57"/>
      <c r="C6" s="58"/>
      <c r="D6" s="58"/>
      <c r="E6" s="58"/>
      <c r="F6" s="58"/>
      <c r="G6" s="58"/>
      <c r="H6" s="58"/>
    </row>
    <row r="7" spans="1:13" ht="15.75" thickBot="1" x14ac:dyDescent="0.25">
      <c r="A7" s="57"/>
      <c r="B7" s="59" t="s">
        <v>29</v>
      </c>
      <c r="C7" s="88">
        <v>3235000</v>
      </c>
      <c r="E7" s="60" t="s">
        <v>30</v>
      </c>
      <c r="F7" s="86">
        <v>8</v>
      </c>
      <c r="G7" s="60" t="s">
        <v>31</v>
      </c>
      <c r="H7" s="61">
        <f>MIN(H3:H5)</f>
        <v>389905.82524271845</v>
      </c>
    </row>
    <row r="8" spans="1:13" x14ac:dyDescent="0.2">
      <c r="B8" s="62"/>
    </row>
    <row r="9" spans="1:13" x14ac:dyDescent="0.2">
      <c r="A9" s="57"/>
      <c r="B9" s="63"/>
      <c r="C9" s="63"/>
      <c r="D9" s="57"/>
      <c r="E9" s="57"/>
      <c r="F9" s="57"/>
      <c r="G9" s="57"/>
    </row>
    <row r="10" spans="1:13" ht="15.75" thickBot="1" x14ac:dyDescent="0.3">
      <c r="A10" s="64" t="s">
        <v>32</v>
      </c>
      <c r="B10" s="64" t="s">
        <v>33</v>
      </c>
      <c r="C10" s="64"/>
      <c r="D10" s="64"/>
      <c r="E10" s="64"/>
      <c r="F10" s="64"/>
      <c r="G10" s="64"/>
      <c r="H10" s="64"/>
    </row>
    <row r="11" spans="1:13" ht="21" thickBot="1" x14ac:dyDescent="0.25">
      <c r="A11" s="112" t="s">
        <v>34</v>
      </c>
      <c r="B11" s="113"/>
      <c r="C11" s="113"/>
      <c r="D11" s="113"/>
      <c r="E11" s="114"/>
      <c r="F11" s="65"/>
      <c r="G11" s="57"/>
      <c r="H11" s="66"/>
      <c r="I11" s="66"/>
      <c r="J11" s="66"/>
      <c r="K11" s="67"/>
      <c r="M11" s="66"/>
    </row>
    <row r="12" spans="1:13" ht="13.5" thickBot="1" x14ac:dyDescent="0.25">
      <c r="A12" s="68"/>
      <c r="B12" s="69" t="s">
        <v>16</v>
      </c>
      <c r="C12" s="70" t="s">
        <v>14</v>
      </c>
      <c r="D12" s="71" t="s">
        <v>35</v>
      </c>
      <c r="E12" s="71" t="s">
        <v>36</v>
      </c>
      <c r="F12" s="72"/>
      <c r="G12" s="73"/>
      <c r="H12" s="74"/>
      <c r="I12" s="67"/>
      <c r="J12" s="67"/>
      <c r="K12" s="67"/>
      <c r="L12" s="74"/>
      <c r="M12" s="67"/>
    </row>
    <row r="13" spans="1:13" ht="15" x14ac:dyDescent="0.2">
      <c r="A13" s="89" t="str">
        <f>A3</f>
        <v>CMC</v>
      </c>
      <c r="B13" s="75">
        <f>((1-(H3-H7)/H7)*30)</f>
        <v>30</v>
      </c>
      <c r="C13" s="76">
        <f>RANK(B13,$B$13:$B$15,0)</f>
        <v>1</v>
      </c>
      <c r="D13" s="77">
        <f>$H$7-H3</f>
        <v>0</v>
      </c>
      <c r="E13" s="78">
        <f>(-D13/$H$7)</f>
        <v>0</v>
      </c>
      <c r="F13" s="79"/>
      <c r="G13" s="80"/>
      <c r="H13" s="67"/>
      <c r="I13" s="66"/>
      <c r="J13" s="66"/>
      <c r="K13" s="66"/>
      <c r="L13" s="74"/>
      <c r="M13" s="66"/>
    </row>
    <row r="14" spans="1:13" ht="15" x14ac:dyDescent="0.2">
      <c r="A14" s="89" t="str">
        <f t="shared" ref="A14:A15" si="1">A4</f>
        <v>Noble</v>
      </c>
      <c r="B14" s="81">
        <f>((1-(H4-H7)/H7)*30)</f>
        <v>28.587681022149887</v>
      </c>
      <c r="C14" s="76">
        <f>RANK(B14,$B$13:$B$15,0)</f>
        <v>2</v>
      </c>
      <c r="D14" s="77">
        <f>$H$7-H4</f>
        <v>-18355.713218820048</v>
      </c>
      <c r="E14" s="78">
        <f>(-D14/$H$7)</f>
        <v>4.707729926167048E-2</v>
      </c>
      <c r="F14" s="79"/>
      <c r="G14" s="80"/>
      <c r="H14" s="67"/>
      <c r="I14" s="66"/>
      <c r="J14" s="66"/>
      <c r="K14" s="66"/>
      <c r="L14" s="74"/>
      <c r="M14" s="66"/>
    </row>
    <row r="15" spans="1:13" ht="15" x14ac:dyDescent="0.2">
      <c r="A15" s="89" t="str">
        <f t="shared" si="1"/>
        <v>Whiting-Turner</v>
      </c>
      <c r="B15" s="81">
        <f>((1-(H5-H7)/H7)*30)</f>
        <v>12.380534244065583</v>
      </c>
      <c r="C15" s="76">
        <f>RANK(B15,$B$13:$B$15,0)</f>
        <v>3</v>
      </c>
      <c r="D15" s="77">
        <f>$H$7-H5</f>
        <v>-228997.74453011423</v>
      </c>
      <c r="E15" s="78">
        <f>(-D15/$H$7)</f>
        <v>0.58731552519781394</v>
      </c>
      <c r="F15" s="79"/>
      <c r="G15" s="82" t="s">
        <v>21</v>
      </c>
      <c r="H15" s="67"/>
      <c r="I15" s="66"/>
      <c r="J15" s="66"/>
      <c r="K15" s="66"/>
      <c r="L15" s="74"/>
      <c r="M15" s="66"/>
    </row>
    <row r="16" spans="1:13" x14ac:dyDescent="0.2">
      <c r="H16" s="66"/>
      <c r="I16" s="66"/>
      <c r="J16" s="66"/>
      <c r="K16" s="66"/>
      <c r="L16" s="66"/>
      <c r="M16" s="66"/>
    </row>
    <row r="17" spans="2:13" ht="13.5" thickBot="1" x14ac:dyDescent="0.25">
      <c r="H17" s="66"/>
      <c r="I17" s="66"/>
      <c r="J17" s="66"/>
      <c r="K17" s="66"/>
      <c r="L17" s="66"/>
      <c r="M17" s="66"/>
    </row>
    <row r="18" spans="2:13" ht="105.75" thickBot="1" x14ac:dyDescent="0.25">
      <c r="F18" s="83" t="s">
        <v>42</v>
      </c>
      <c r="H18" s="84"/>
      <c r="I18" s="66"/>
      <c r="J18" s="85"/>
      <c r="K18" s="85"/>
      <c r="L18" s="85"/>
      <c r="M18" s="85"/>
    </row>
    <row r="21" spans="2:13" x14ac:dyDescent="0.2">
      <c r="B21" s="90"/>
      <c r="C21" s="90"/>
    </row>
    <row r="22" spans="2:13" x14ac:dyDescent="0.2">
      <c r="B22" s="90"/>
      <c r="C22" s="90"/>
    </row>
    <row r="23" spans="2:13" x14ac:dyDescent="0.2">
      <c r="B23" s="90"/>
      <c r="C23" s="90"/>
    </row>
  </sheetData>
  <mergeCells count="3">
    <mergeCell ref="A1:A2"/>
    <mergeCell ref="D1:E1"/>
    <mergeCell ref="A11:E1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6"/>
  <sheetViews>
    <sheetView tabSelected="1" workbookViewId="0">
      <selection activeCell="L22" sqref="L22"/>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11</v>
      </c>
      <c r="B1" s="11"/>
      <c r="C1" s="10"/>
      <c r="D1" s="10"/>
      <c r="E1" s="10"/>
      <c r="F1" s="10"/>
      <c r="G1" s="10"/>
      <c r="H1" s="10"/>
    </row>
    <row r="2" spans="1:16" ht="6" customHeight="1" x14ac:dyDescent="0.25">
      <c r="A2" s="10"/>
      <c r="B2" s="11"/>
      <c r="C2" s="10"/>
      <c r="D2" s="10"/>
      <c r="E2" s="10"/>
      <c r="F2" s="10"/>
      <c r="G2" s="10"/>
      <c r="H2" s="10"/>
    </row>
    <row r="3" spans="1:16" ht="15.75" x14ac:dyDescent="0.25">
      <c r="A3" s="115" t="s">
        <v>38</v>
      </c>
      <c r="B3" s="115"/>
      <c r="C3" s="115"/>
      <c r="D3" s="115"/>
      <c r="E3" s="115"/>
      <c r="F3" s="115"/>
      <c r="G3" s="115"/>
      <c r="H3" s="115"/>
    </row>
    <row r="4" spans="1:16" x14ac:dyDescent="0.2">
      <c r="A4" s="11"/>
      <c r="B4" s="11"/>
      <c r="C4" s="11"/>
      <c r="D4" s="11"/>
      <c r="E4" s="11"/>
      <c r="F4" s="11"/>
      <c r="G4" s="13"/>
      <c r="H4" s="13"/>
    </row>
    <row r="5" spans="1:16" ht="15.75" x14ac:dyDescent="0.25">
      <c r="G5" s="25" t="s">
        <v>17</v>
      </c>
      <c r="H5" s="14"/>
      <c r="I5" s="25"/>
      <c r="J5" s="14"/>
      <c r="O5" s="116" t="s">
        <v>14</v>
      </c>
      <c r="P5" s="116"/>
    </row>
    <row r="6" spans="1:16" s="17" customFormat="1" ht="135" customHeight="1" x14ac:dyDescent="0.2">
      <c r="A6" s="15"/>
      <c r="B6" s="16" t="s">
        <v>1</v>
      </c>
      <c r="C6" s="16" t="s">
        <v>2</v>
      </c>
      <c r="D6" s="16" t="s">
        <v>3</v>
      </c>
      <c r="E6" s="16" t="s">
        <v>4</v>
      </c>
      <c r="F6" s="16" t="s">
        <v>5</v>
      </c>
      <c r="G6" s="28" t="s">
        <v>15</v>
      </c>
      <c r="I6" s="12"/>
      <c r="J6" s="16" t="str">
        <f>B6</f>
        <v>Evaluator 1</v>
      </c>
      <c r="K6" s="16" t="str">
        <f>C6</f>
        <v>Evaluator 2</v>
      </c>
      <c r="L6" s="16" t="str">
        <f>D6</f>
        <v>Evaluator 3</v>
      </c>
      <c r="M6" s="16" t="str">
        <f>E6</f>
        <v>Evaluator 4</v>
      </c>
      <c r="N6" s="16" t="str">
        <f>F6</f>
        <v>Evaluator 5</v>
      </c>
      <c r="O6" s="28" t="s">
        <v>18</v>
      </c>
      <c r="P6" s="23" t="s">
        <v>13</v>
      </c>
    </row>
    <row r="7" spans="1:16" ht="16.5" customHeight="1" x14ac:dyDescent="0.2">
      <c r="A7" s="19" t="str">
        <f>'1'!A4:C4</f>
        <v>CMC</v>
      </c>
      <c r="B7" s="87">
        <f>'1'!I4</f>
        <v>56</v>
      </c>
      <c r="C7" s="87">
        <f>'2'!I4</f>
        <v>69.2</v>
      </c>
      <c r="D7" s="87">
        <f>'3'!I4</f>
        <v>58.599999999999994</v>
      </c>
      <c r="E7" s="87">
        <f>'4'!I4</f>
        <v>56.499999999999993</v>
      </c>
      <c r="F7" s="87">
        <f>'5'!I4</f>
        <v>72.2</v>
      </c>
      <c r="G7" s="29">
        <f>AVERAGE(B7:F7)</f>
        <v>62.5</v>
      </c>
      <c r="H7" s="26"/>
      <c r="I7" s="26"/>
      <c r="J7" s="18">
        <f>RANK(B7,$B$7:$B$9,0)</f>
        <v>3</v>
      </c>
      <c r="K7" s="18">
        <f>RANK(C7,$C$7:$C$9,0)</f>
        <v>3</v>
      </c>
      <c r="L7" s="18">
        <f>RANK(D7,$D$7:$D$9,0)</f>
        <v>3</v>
      </c>
      <c r="M7" s="18">
        <f>RANK(E7,$E$7:$E$9,0)</f>
        <v>3</v>
      </c>
      <c r="N7" s="18">
        <f>RANK(F7,$F$7:$F$9,0)</f>
        <v>3</v>
      </c>
      <c r="O7" s="31">
        <f>AVERAGE(J7:N7)</f>
        <v>3</v>
      </c>
      <c r="P7" s="21">
        <f>RANK(O7,$O$7:$O$9,1)</f>
        <v>3</v>
      </c>
    </row>
    <row r="8" spans="1:16" s="105" customFormat="1" ht="16.5" customHeight="1" x14ac:dyDescent="0.2">
      <c r="A8" s="98" t="str">
        <f>'1'!A5:C5</f>
        <v>Noble</v>
      </c>
      <c r="B8" s="99">
        <f>'1'!I5</f>
        <v>62.587681022149887</v>
      </c>
      <c r="C8" s="99">
        <f>'2'!I5</f>
        <v>85.287681022149897</v>
      </c>
      <c r="D8" s="99">
        <f>'3'!I5</f>
        <v>67.687681022149889</v>
      </c>
      <c r="E8" s="99">
        <f>'4'!I5</f>
        <v>65.587681022149894</v>
      </c>
      <c r="F8" s="99">
        <f>'5'!I5</f>
        <v>83.187681022149889</v>
      </c>
      <c r="G8" s="100">
        <f>AVERAGE(B8:F8)</f>
        <v>72.867681022149881</v>
      </c>
      <c r="H8" s="101"/>
      <c r="I8" s="101"/>
      <c r="J8" s="102">
        <f>RANK(B8,$B$7:$B$9,0)</f>
        <v>1</v>
      </c>
      <c r="K8" s="102">
        <f>RANK(C8,$C$7:$C$9,0)</f>
        <v>1</v>
      </c>
      <c r="L8" s="102">
        <f>RANK(D8,$D$7:$D$9,0)</f>
        <v>2</v>
      </c>
      <c r="M8" s="102">
        <f>RANK(E8,$E$7:$E$9,0)</f>
        <v>2</v>
      </c>
      <c r="N8" s="102">
        <f>RANK(F8,$F$7:$F$9,0)</f>
        <v>1</v>
      </c>
      <c r="O8" s="103">
        <f>AVERAGE(J8:N8)</f>
        <v>1.4</v>
      </c>
      <c r="P8" s="104">
        <f>RANK(O8,$O$7:$O$9,1)</f>
        <v>1</v>
      </c>
    </row>
    <row r="9" spans="1:16" ht="16.5" customHeight="1" x14ac:dyDescent="0.2">
      <c r="A9" s="19" t="str">
        <f>'1'!A6:C6</f>
        <v>Whiting-Turner</v>
      </c>
      <c r="B9" s="87">
        <f>'1'!I6</f>
        <v>59.880534244065586</v>
      </c>
      <c r="C9" s="87">
        <f>'2'!I6</f>
        <v>72.880534244065586</v>
      </c>
      <c r="D9" s="87">
        <f>'3'!I6</f>
        <v>77.580534244065589</v>
      </c>
      <c r="E9" s="87">
        <f>'4'!I6</f>
        <v>75.480534244065581</v>
      </c>
      <c r="F9" s="87">
        <f>'5'!I6</f>
        <v>76.280534244065578</v>
      </c>
      <c r="G9" s="30">
        <f>AVERAGE(B9:F9)</f>
        <v>72.420534244065578</v>
      </c>
      <c r="H9" s="27"/>
      <c r="I9" s="27"/>
      <c r="J9" s="18">
        <f>RANK(B9,$B$7:$B$9,0)</f>
        <v>2</v>
      </c>
      <c r="K9" s="18">
        <f>RANK(C9,$C$7:$C$9,0)</f>
        <v>2</v>
      </c>
      <c r="L9" s="18">
        <f>RANK(D9,$D$7:$D$9,0)</f>
        <v>1</v>
      </c>
      <c r="M9" s="18">
        <f>RANK(E9,$E$7:$E$9,0)</f>
        <v>1</v>
      </c>
      <c r="N9" s="18">
        <f>RANK(F9,$F$7:$F$9,0)</f>
        <v>2</v>
      </c>
      <c r="O9" s="32">
        <f>AVERAGE(J9:N9)</f>
        <v>1.6</v>
      </c>
      <c r="P9" s="21">
        <f>RANK(O9,$O$7:$O$9,1)</f>
        <v>2</v>
      </c>
    </row>
    <row r="10" spans="1:16" x14ac:dyDescent="0.2">
      <c r="I10" s="24"/>
    </row>
    <row r="15" spans="1:16" x14ac:dyDescent="0.2">
      <c r="A15" s="20" t="s">
        <v>12</v>
      </c>
    </row>
    <row r="16" spans="1:16" x14ac:dyDescent="0.2">
      <c r="A16"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6431-C652-4C23-9066-C94CFAFD799A}">
  <dimension ref="A1:P46"/>
  <sheetViews>
    <sheetView zoomScaleNormal="100" workbookViewId="0">
      <selection activeCell="H15" sqref="H15:J15"/>
    </sheetView>
  </sheetViews>
  <sheetFormatPr defaultRowHeight="12.75" x14ac:dyDescent="0.2"/>
  <cols>
    <col min="1" max="1" width="20.7109375" style="119" customWidth="1"/>
    <col min="2" max="16" width="9.5703125" style="119" customWidth="1"/>
    <col min="17" max="16384" width="9.140625" style="119"/>
  </cols>
  <sheetData>
    <row r="1" spans="1:16" ht="15.75" customHeight="1" x14ac:dyDescent="0.25">
      <c r="A1" s="117" t="s">
        <v>44</v>
      </c>
      <c r="B1" s="117"/>
      <c r="C1" s="117"/>
      <c r="D1" s="117"/>
      <c r="E1" s="117"/>
      <c r="F1" s="117"/>
      <c r="G1" s="117"/>
      <c r="H1" s="117"/>
      <c r="I1" s="117"/>
      <c r="J1" s="118"/>
    </row>
    <row r="2" spans="1:16" ht="15.75" x14ac:dyDescent="0.25">
      <c r="A2" s="120" t="s">
        <v>38</v>
      </c>
      <c r="B2" s="120"/>
      <c r="C2" s="120"/>
      <c r="D2" s="120"/>
      <c r="E2" s="120"/>
      <c r="F2" s="120"/>
      <c r="G2" s="120"/>
      <c r="H2" s="120"/>
      <c r="I2" s="120"/>
      <c r="J2" s="121"/>
    </row>
    <row r="3" spans="1:16" x14ac:dyDescent="0.2">
      <c r="A3" s="122" t="s">
        <v>45</v>
      </c>
      <c r="B3" s="123"/>
      <c r="C3" s="123"/>
      <c r="D3" s="123"/>
    </row>
    <row r="4" spans="1:16" ht="15" customHeight="1" x14ac:dyDescent="0.2">
      <c r="A4" s="122" t="s">
        <v>46</v>
      </c>
      <c r="B4" s="124" t="s">
        <v>47</v>
      </c>
      <c r="C4" s="124"/>
      <c r="D4" s="124"/>
      <c r="E4" s="125"/>
    </row>
    <row r="5" spans="1:16" ht="20.25" customHeight="1" x14ac:dyDescent="0.25">
      <c r="A5" s="126" t="s">
        <v>48</v>
      </c>
      <c r="B5" s="126"/>
      <c r="C5" s="127"/>
      <c r="D5" s="127"/>
      <c r="E5" s="127"/>
      <c r="F5" s="127"/>
      <c r="G5" s="127"/>
    </row>
    <row r="6" spans="1:16" ht="27" customHeight="1" thickBot="1" x14ac:dyDescent="0.25">
      <c r="A6" s="128"/>
      <c r="B6" s="129" t="s">
        <v>49</v>
      </c>
      <c r="C6" s="129"/>
      <c r="D6" s="129"/>
      <c r="E6" s="129"/>
      <c r="F6" s="129"/>
      <c r="G6" s="129"/>
      <c r="H6" s="129"/>
      <c r="I6" s="129"/>
    </row>
    <row r="7" spans="1:16" ht="20.25" customHeight="1" x14ac:dyDescent="0.25">
      <c r="A7" s="130" t="s">
        <v>50</v>
      </c>
      <c r="B7" s="130"/>
      <c r="C7" s="131"/>
      <c r="D7" s="132"/>
      <c r="E7" s="132"/>
      <c r="F7" s="132"/>
      <c r="G7" s="132"/>
    </row>
    <row r="8" spans="1:16" ht="27" customHeight="1" thickBot="1" x14ac:dyDescent="0.25">
      <c r="A8" s="128"/>
      <c r="B8" s="129" t="s">
        <v>51</v>
      </c>
      <c r="C8" s="129"/>
      <c r="D8" s="129"/>
      <c r="E8" s="129"/>
      <c r="F8" s="129"/>
      <c r="G8" s="129"/>
      <c r="H8" s="129"/>
      <c r="I8" s="129"/>
    </row>
    <row r="9" spans="1:16" ht="15" customHeight="1" x14ac:dyDescent="0.2"/>
    <row r="10" spans="1:16" ht="15" customHeight="1" x14ac:dyDescent="0.2"/>
    <row r="11" spans="1:16" ht="11.25" customHeight="1" thickBot="1" x14ac:dyDescent="0.25"/>
    <row r="12" spans="1:16" s="133" customFormat="1" ht="13.5" thickBot="1" x14ac:dyDescent="0.25">
      <c r="B12" s="134" t="s">
        <v>52</v>
      </c>
      <c r="C12" s="135"/>
      <c r="D12" s="136"/>
      <c r="E12" s="134" t="s">
        <v>53</v>
      </c>
      <c r="F12" s="135"/>
      <c r="G12" s="136"/>
      <c r="H12" s="134" t="s">
        <v>54</v>
      </c>
      <c r="I12" s="135"/>
      <c r="J12" s="136"/>
      <c r="K12" s="134" t="s">
        <v>55</v>
      </c>
      <c r="L12" s="135"/>
      <c r="M12" s="136"/>
      <c r="N12" s="134" t="s">
        <v>56</v>
      </c>
      <c r="O12" s="135"/>
      <c r="P12" s="136"/>
    </row>
    <row r="13" spans="1:16" s="133" customFormat="1" ht="76.5" customHeight="1" x14ac:dyDescent="0.2">
      <c r="B13" s="137" t="s">
        <v>57</v>
      </c>
      <c r="C13" s="138"/>
      <c r="D13" s="139"/>
      <c r="E13" s="140" t="s">
        <v>58</v>
      </c>
      <c r="F13" s="138"/>
      <c r="G13" s="139"/>
      <c r="H13" s="140" t="s">
        <v>59</v>
      </c>
      <c r="I13" s="138"/>
      <c r="J13" s="139"/>
      <c r="K13" s="140" t="s">
        <v>60</v>
      </c>
      <c r="L13" s="138"/>
      <c r="M13" s="139"/>
      <c r="N13" s="140" t="s">
        <v>61</v>
      </c>
      <c r="O13" s="138"/>
      <c r="P13" s="139"/>
    </row>
    <row r="14" spans="1:16" s="145" customFormat="1" ht="11.25" customHeight="1" x14ac:dyDescent="0.2">
      <c r="A14" s="141"/>
      <c r="B14" s="142" t="s">
        <v>62</v>
      </c>
      <c r="C14" s="143"/>
      <c r="D14" s="144"/>
      <c r="E14" s="142" t="s">
        <v>62</v>
      </c>
      <c r="F14" s="143"/>
      <c r="G14" s="144"/>
      <c r="H14" s="142" t="s">
        <v>62</v>
      </c>
      <c r="I14" s="143"/>
      <c r="J14" s="144"/>
      <c r="K14" s="142" t="s">
        <v>62</v>
      </c>
      <c r="L14" s="143"/>
      <c r="M14" s="144"/>
      <c r="N14" s="142" t="s">
        <v>62</v>
      </c>
      <c r="O14" s="143"/>
      <c r="P14" s="144"/>
    </row>
    <row r="15" spans="1:16" s="145" customFormat="1" x14ac:dyDescent="0.2">
      <c r="A15" s="146" t="s">
        <v>39</v>
      </c>
      <c r="B15" s="147"/>
      <c r="C15" s="148"/>
      <c r="D15" s="149"/>
      <c r="E15" s="150"/>
      <c r="F15" s="151"/>
      <c r="G15" s="152"/>
      <c r="H15" s="150"/>
      <c r="I15" s="151"/>
      <c r="J15" s="152"/>
      <c r="K15" s="150"/>
      <c r="L15" s="151"/>
      <c r="M15" s="152"/>
      <c r="N15" s="150"/>
      <c r="O15" s="151"/>
      <c r="P15" s="152"/>
    </row>
    <row r="16" spans="1:16" s="145" customFormat="1" x14ac:dyDescent="0.2">
      <c r="A16" s="153" t="s">
        <v>40</v>
      </c>
      <c r="B16" s="154"/>
      <c r="C16" s="155"/>
      <c r="D16" s="156"/>
      <c r="E16" s="157"/>
      <c r="F16" s="158"/>
      <c r="G16" s="159"/>
      <c r="H16" s="157"/>
      <c r="I16" s="158"/>
      <c r="J16" s="159"/>
      <c r="K16" s="157"/>
      <c r="L16" s="158"/>
      <c r="M16" s="159"/>
      <c r="N16" s="157"/>
      <c r="O16" s="158"/>
      <c r="P16" s="159"/>
    </row>
    <row r="17" spans="1:16" s="145" customFormat="1" x14ac:dyDescent="0.2">
      <c r="A17" s="153" t="s">
        <v>41</v>
      </c>
      <c r="B17" s="154"/>
      <c r="C17" s="155"/>
      <c r="D17" s="156"/>
      <c r="E17" s="157"/>
      <c r="F17" s="158"/>
      <c r="G17" s="159"/>
      <c r="H17" s="157"/>
      <c r="I17" s="158"/>
      <c r="J17" s="159"/>
      <c r="K17" s="157"/>
      <c r="L17" s="158"/>
      <c r="M17" s="159"/>
      <c r="N17" s="157"/>
      <c r="O17" s="158"/>
      <c r="P17" s="159"/>
    </row>
    <row r="18" spans="1:16" s="161" customFormat="1" ht="7.5" customHeight="1" x14ac:dyDescent="0.2">
      <c r="A18" s="160"/>
      <c r="B18" s="160"/>
      <c r="C18" s="160"/>
      <c r="D18" s="160"/>
      <c r="E18" s="160"/>
      <c r="F18" s="160"/>
      <c r="G18" s="160"/>
      <c r="H18" s="160"/>
      <c r="I18" s="160"/>
      <c r="J18" s="160"/>
      <c r="K18" s="160"/>
      <c r="L18" s="160"/>
      <c r="M18" s="160"/>
      <c r="N18" s="160"/>
      <c r="O18" s="160"/>
      <c r="P18" s="160"/>
    </row>
    <row r="19" spans="1:16" s="162" customFormat="1" ht="6.75" customHeight="1" x14ac:dyDescent="0.2"/>
    <row r="21" spans="1:16" x14ac:dyDescent="0.2">
      <c r="A21" s="163"/>
      <c r="G21" s="164"/>
      <c r="H21" s="164"/>
    </row>
    <row r="22" spans="1:16" x14ac:dyDescent="0.2">
      <c r="A22" s="165" t="s">
        <v>63</v>
      </c>
      <c r="G22" s="164"/>
      <c r="H22" s="164"/>
      <c r="I22" s="164"/>
      <c r="J22" s="164"/>
    </row>
    <row r="23" spans="1:16" ht="15" x14ac:dyDescent="0.25">
      <c r="A23" s="166"/>
      <c r="B23" s="166"/>
      <c r="C23" s="167"/>
      <c r="E23" s="168"/>
      <c r="G23" s="164"/>
      <c r="H23" s="164"/>
      <c r="I23" s="164"/>
      <c r="J23" s="164"/>
    </row>
    <row r="24" spans="1:16" ht="15" x14ac:dyDescent="0.25">
      <c r="A24" s="166"/>
      <c r="B24" s="166"/>
      <c r="C24" s="167"/>
      <c r="E24" s="168"/>
      <c r="G24" s="164"/>
      <c r="H24" s="164"/>
      <c r="I24" s="164"/>
      <c r="J24" s="164"/>
    </row>
    <row r="25" spans="1:16" ht="15" x14ac:dyDescent="0.25">
      <c r="A25" s="166"/>
      <c r="B25" s="166"/>
      <c r="C25" s="167"/>
      <c r="E25" s="168"/>
      <c r="G25" s="164"/>
      <c r="H25" s="164"/>
      <c r="I25" s="164"/>
      <c r="J25" s="164"/>
    </row>
    <row r="26" spans="1:16" ht="15" x14ac:dyDescent="0.25">
      <c r="A26" s="166"/>
      <c r="B26" s="166"/>
      <c r="C26" s="167"/>
      <c r="E26" s="168"/>
      <c r="G26" s="164"/>
      <c r="H26" s="164"/>
      <c r="I26" s="164"/>
      <c r="J26" s="164"/>
    </row>
    <row r="27" spans="1:16" ht="15" x14ac:dyDescent="0.25">
      <c r="A27" s="166"/>
      <c r="B27" s="166"/>
      <c r="C27" s="167"/>
      <c r="E27" s="168"/>
      <c r="G27" s="164"/>
      <c r="H27" s="164"/>
      <c r="I27" s="164"/>
      <c r="J27" s="164"/>
    </row>
    <row r="28" spans="1:16" x14ac:dyDescent="0.2">
      <c r="I28" s="164"/>
      <c r="J28" s="164"/>
      <c r="K28" s="164"/>
      <c r="L28" s="164"/>
    </row>
    <row r="29" spans="1:16" x14ac:dyDescent="0.2">
      <c r="I29" s="164"/>
      <c r="J29" s="164"/>
      <c r="K29" s="164"/>
      <c r="L29" s="164"/>
      <c r="M29" s="164"/>
    </row>
    <row r="30" spans="1:16" x14ac:dyDescent="0.2">
      <c r="L30" s="164"/>
      <c r="M30" s="164"/>
    </row>
    <row r="31" spans="1:16" x14ac:dyDescent="0.2">
      <c r="L31" s="164"/>
      <c r="M31" s="164"/>
    </row>
    <row r="32" spans="1:16" x14ac:dyDescent="0.2">
      <c r="L32" s="164"/>
      <c r="M32" s="164"/>
    </row>
    <row r="33" spans="1:13" x14ac:dyDescent="0.2">
      <c r="L33" s="164"/>
      <c r="M33" s="164"/>
    </row>
    <row r="46" spans="1:13" x14ac:dyDescent="0.2">
      <c r="A46" s="169" t="s">
        <v>64</v>
      </c>
    </row>
  </sheetData>
  <mergeCells count="38">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2022-08-31T14:54:10Z</dcterms:modified>
</cp:coreProperties>
</file>